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P:\Compartilhada SEC x RelacMerc\Pacote - Por Especialidade - para Sec e Mkt\"/>
    </mc:Choice>
  </mc:AlternateContent>
  <xr:revisionPtr revIDLastSave="0" documentId="13_ncr:1_{1355F34F-1F5B-4091-9FFF-829C59525DAE}" xr6:coauthVersionLast="47" xr6:coauthVersionMax="47" xr10:uidLastSave="{00000000-0000-0000-0000-000000000000}"/>
  <bookViews>
    <workbookView xWindow="20370" yWindow="-2310" windowWidth="29040" windowHeight="15840" firstSheet="6" activeTab="12" xr2:uid="{00000000-000D-0000-FFFF-FFFF00000000}"/>
  </bookViews>
  <sheets>
    <sheet name="base" sheetId="2" state="hidden" r:id="rId1"/>
    <sheet name="REGRAS GERAIS" sheetId="3" r:id="rId2"/>
    <sheet name="ANESTESIA" sheetId="5" r:id="rId3"/>
    <sheet name="BUCOMAXILO" sheetId="6" r:id="rId4"/>
    <sheet name="CARDIOVASCULAR" sheetId="15" r:id="rId5"/>
    <sheet name="CABEÇA E PESCOÇO" sheetId="7" r:id="rId6"/>
    <sheet name="CIRURGIA GERAL" sheetId="8" r:id="rId7"/>
    <sheet name="CIRURGIA PLASTICA - CASA SAUDE" sheetId="17" r:id="rId8"/>
    <sheet name="CIRURGIA PLASTICA - VERA CRUZ" sheetId="16" r:id="rId9"/>
    <sheet name="VASCULAR" sheetId="13" r:id="rId10"/>
    <sheet name="GASTRO" sheetId="9" r:id="rId11"/>
    <sheet name="GINECOLOGIA" sheetId="10" r:id="rId12"/>
    <sheet name="ORTOPEDIA" sheetId="11" r:id="rId13"/>
    <sheet name="OTORRINO" sheetId="14" r:id="rId14"/>
    <sheet name="UROLOGIA" sheetId="12" r:id="rId15"/>
  </sheets>
  <definedNames>
    <definedName name="_xlnm._FilterDatabase" localSheetId="0" hidden="1">base!$B$2:$Q$2</definedName>
    <definedName name="_xlnm._FilterDatabase" localSheetId="4" hidden="1">CARDIOVASCULAR!$B$8:$M$14</definedName>
    <definedName name="_xlnm._FilterDatabase" localSheetId="6" hidden="1">'CIRURGIA GERAL'!$B$7:$M$7</definedName>
    <definedName name="_xlnm._FilterDatabase" localSheetId="11" hidden="1">GINECOLOGIA!$B$8:$M$8</definedName>
    <definedName name="_xlnm._FilterDatabase" localSheetId="13" hidden="1">OTORRINO!$B$8:$L$8</definedName>
    <definedName name="_xlnm._FilterDatabase" localSheetId="14" hidden="1">UROLOGIA!$B$6:$M$36</definedName>
    <definedName name="_xlnm.Print_Area" localSheetId="2">ANESTESIA!$B$8:$L$12</definedName>
    <definedName name="_xlnm.Print_Area" localSheetId="0">base!$B$2:$M$127</definedName>
    <definedName name="_xlnm.Print_Area" localSheetId="3">BUCOMAXILO!$B$8:$L$10</definedName>
    <definedName name="_xlnm.Print_Area" localSheetId="5">'CABEÇA E PESCOÇO'!$B$7:$L$14</definedName>
    <definedName name="_xlnm.Print_Area" localSheetId="4">CARDIOVASCULAR!$B$8:$M$14</definedName>
    <definedName name="_xlnm.Print_Area" localSheetId="6">'CIRURGIA GERAL'!$B$7:$M$21</definedName>
    <definedName name="_xlnm.Print_Area" localSheetId="10">GASTRO!$B$8:$M$12</definedName>
    <definedName name="_xlnm.Print_Area" localSheetId="11">GINECOLOGIA!$B$8:$M$29</definedName>
    <definedName name="_xlnm.Print_Area" localSheetId="12">ORTOPEDIA!$B$7:$M$16</definedName>
    <definedName name="_xlnm.Print_Area" localSheetId="13">OTORRINO!$B$8:$L$23</definedName>
    <definedName name="_xlnm.Print_Area" localSheetId="1">'REGRAS GERAIS'!#REF!</definedName>
    <definedName name="_xlnm.Print_Area" localSheetId="14">UROLOGIA!$B$6:$M$35</definedName>
    <definedName name="_xlnm.Print_Area" localSheetId="9">VASCULAR!$B$7:$M$12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4" i="17" l="1"/>
  <c r="J34" i="17" s="1"/>
  <c r="H33" i="17"/>
  <c r="H32" i="17"/>
  <c r="I32" i="17" s="1"/>
  <c r="H31" i="17"/>
  <c r="H30" i="17"/>
  <c r="I30" i="17" s="1"/>
  <c r="H29" i="17"/>
  <c r="H28" i="17"/>
  <c r="I28" i="17" s="1"/>
  <c r="H27" i="17"/>
  <c r="H25" i="17"/>
  <c r="H26" i="17" s="1"/>
  <c r="I26" i="17" s="1"/>
  <c r="H24" i="17"/>
  <c r="I24" i="17" s="1"/>
  <c r="H23" i="17"/>
  <c r="H22" i="17"/>
  <c r="I22" i="17" s="1"/>
  <c r="H21" i="17"/>
  <c r="H20" i="17"/>
  <c r="I20" i="17" s="1"/>
  <c r="H19" i="17"/>
  <c r="J18" i="17"/>
  <c r="I18" i="17"/>
  <c r="H17" i="17"/>
  <c r="H16" i="17"/>
  <c r="I16" i="17" s="1"/>
  <c r="H14" i="17"/>
  <c r="J14" i="17" s="1"/>
  <c r="H13" i="17"/>
  <c r="H12" i="17"/>
  <c r="I12" i="17" s="1"/>
  <c r="H11" i="17"/>
  <c r="I11" i="17" s="1"/>
  <c r="H10" i="17"/>
  <c r="H9" i="17"/>
  <c r="H8" i="17"/>
  <c r="I8" i="17" s="1"/>
  <c r="H7" i="17"/>
  <c r="H6" i="17"/>
  <c r="I6" i="17" s="1"/>
  <c r="H5" i="17"/>
  <c r="J30" i="17" l="1"/>
  <c r="I9" i="17"/>
  <c r="J20" i="17"/>
  <c r="J24" i="17"/>
  <c r="J28" i="17"/>
  <c r="J32" i="17"/>
  <c r="J17" i="17"/>
  <c r="J13" i="17"/>
  <c r="J22" i="17"/>
  <c r="J26" i="17"/>
  <c r="I7" i="17"/>
  <c r="J12" i="17"/>
  <c r="J16" i="17"/>
  <c r="I10" i="17"/>
  <c r="I21" i="17"/>
  <c r="I23" i="17"/>
  <c r="I25" i="17"/>
  <c r="I27" i="17"/>
  <c r="I29" i="17"/>
  <c r="I31" i="17"/>
  <c r="I33" i="17"/>
  <c r="I14" i="17"/>
  <c r="I5" i="17"/>
  <c r="H15" i="17"/>
  <c r="J19" i="17"/>
  <c r="J21" i="17"/>
  <c r="J23" i="17"/>
  <c r="J25" i="17"/>
  <c r="J27" i="17"/>
  <c r="J29" i="17"/>
  <c r="J31" i="17"/>
  <c r="J33" i="17"/>
  <c r="I13" i="17"/>
  <c r="I17" i="17"/>
  <c r="J15" i="17" l="1"/>
  <c r="I15" i="17"/>
  <c r="M36" i="16" l="1"/>
  <c r="L36" i="16"/>
  <c r="J36" i="16"/>
  <c r="M35" i="16"/>
  <c r="L35" i="16"/>
  <c r="J35" i="16"/>
  <c r="M34" i="16"/>
  <c r="L34" i="16"/>
  <c r="J34" i="16"/>
  <c r="M33" i="16"/>
  <c r="L33" i="16"/>
  <c r="J33" i="16"/>
  <c r="M32" i="16"/>
  <c r="L32" i="16"/>
  <c r="J32" i="16"/>
  <c r="M31" i="16"/>
  <c r="L31" i="16"/>
  <c r="J31" i="16"/>
  <c r="L30" i="16"/>
  <c r="M30" i="16" s="1"/>
  <c r="J30" i="16"/>
  <c r="L29" i="16"/>
  <c r="M29" i="16" s="1"/>
  <c r="J29" i="16"/>
  <c r="L28" i="16"/>
  <c r="M28" i="16" s="1"/>
  <c r="J28" i="16"/>
  <c r="M27" i="16"/>
  <c r="L27" i="16"/>
  <c r="J27" i="16"/>
  <c r="L26" i="16"/>
  <c r="M26" i="16" s="1"/>
  <c r="J26" i="16"/>
  <c r="M25" i="16"/>
  <c r="L25" i="16"/>
  <c r="J25" i="16"/>
  <c r="L24" i="16"/>
  <c r="M24" i="16" s="1"/>
  <c r="J24" i="16"/>
  <c r="M23" i="16"/>
  <c r="L23" i="16"/>
  <c r="J23" i="16"/>
  <c r="M22" i="16"/>
  <c r="L22" i="16"/>
  <c r="J22" i="16"/>
  <c r="L21" i="16"/>
  <c r="M21" i="16" s="1"/>
  <c r="J21" i="16"/>
  <c r="L20" i="16"/>
  <c r="M20" i="16" s="1"/>
  <c r="J20" i="16"/>
  <c r="M19" i="16"/>
  <c r="L19" i="16"/>
  <c r="J19" i="16"/>
  <c r="L18" i="16"/>
  <c r="M18" i="16" s="1"/>
  <c r="J18" i="16"/>
  <c r="M17" i="16"/>
  <c r="L17" i="16"/>
  <c r="J17" i="16"/>
  <c r="M16" i="16"/>
  <c r="L16" i="16"/>
  <c r="J16" i="16"/>
  <c r="M15" i="16"/>
  <c r="L15" i="16"/>
  <c r="J15" i="16"/>
  <c r="L14" i="16"/>
  <c r="M14" i="16" s="1"/>
  <c r="J14" i="16"/>
  <c r="L13" i="16"/>
  <c r="M13" i="16" s="1"/>
  <c r="J13" i="16"/>
  <c r="L12" i="16"/>
  <c r="M12" i="16" s="1"/>
  <c r="J12" i="16"/>
  <c r="L11" i="16"/>
  <c r="M11" i="16" s="1"/>
  <c r="J11" i="16"/>
  <c r="L10" i="16"/>
  <c r="M10" i="16" s="1"/>
  <c r="J10" i="16"/>
  <c r="L9" i="16"/>
  <c r="M9" i="16" s="1"/>
  <c r="J9" i="16"/>
  <c r="L8" i="16"/>
  <c r="L7" i="16"/>
  <c r="M7" i="16" s="1"/>
  <c r="J7" i="16"/>
  <c r="L6" i="16"/>
  <c r="M6" i="16" s="1"/>
  <c r="J6" i="16"/>
  <c r="L5" i="16"/>
  <c r="M5" i="16" s="1"/>
  <c r="J5" i="16"/>
  <c r="L29" i="10" l="1"/>
  <c r="L28" i="10"/>
  <c r="L27" i="10"/>
  <c r="L26" i="10"/>
  <c r="L70" i="2"/>
  <c r="M68" i="2"/>
  <c r="L68" i="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N16" i="11"/>
  <c r="N15" i="11"/>
  <c r="N14" i="11"/>
  <c r="N13" i="11"/>
  <c r="N12" i="11"/>
  <c r="N11" i="11"/>
  <c r="N10" i="11"/>
  <c r="N9" i="11"/>
  <c r="N8" i="11"/>
  <c r="N7" i="11"/>
  <c r="N26" i="10"/>
  <c r="N27" i="10"/>
  <c r="N28" i="10"/>
  <c r="N29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16" i="9"/>
  <c r="N15" i="9"/>
  <c r="N14" i="9"/>
  <c r="N13" i="9"/>
  <c r="N12" i="9"/>
  <c r="N11" i="9"/>
  <c r="N10" i="9"/>
  <c r="N9" i="9"/>
  <c r="N8" i="9"/>
  <c r="N12" i="13"/>
  <c r="N11" i="13"/>
  <c r="N10" i="13"/>
  <c r="N9" i="13"/>
  <c r="N8" i="13"/>
  <c r="N7" i="13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M13" i="7"/>
  <c r="M12" i="7"/>
  <c r="M11" i="7"/>
  <c r="M10" i="7"/>
  <c r="M9" i="7"/>
  <c r="M8" i="7"/>
  <c r="M7" i="7"/>
  <c r="M10" i="6"/>
  <c r="M9" i="6"/>
  <c r="M8" i="6"/>
  <c r="M12" i="5"/>
  <c r="M11" i="5"/>
  <c r="M10" i="5"/>
  <c r="M9" i="5"/>
  <c r="M8" i="5"/>
  <c r="G10" i="15"/>
  <c r="I9" i="15"/>
  <c r="E9" i="6" l="1"/>
  <c r="D12" i="5"/>
  <c r="M30" i="2" l="1"/>
  <c r="M40" i="2"/>
  <c r="M94" i="2"/>
  <c r="M105" i="2"/>
  <c r="M119" i="2"/>
  <c r="M128" i="2"/>
  <c r="M126" i="2"/>
  <c r="M118" i="2"/>
  <c r="M113" i="2"/>
  <c r="M111" i="2"/>
  <c r="M110" i="2"/>
  <c r="M106" i="2"/>
  <c r="M104" i="2"/>
  <c r="M101" i="2"/>
  <c r="M95" i="2"/>
  <c r="M90" i="2"/>
  <c r="M76" i="2"/>
  <c r="M77" i="2"/>
  <c r="M65" i="2"/>
  <c r="M62" i="2"/>
  <c r="M63" i="2"/>
  <c r="M61" i="2"/>
  <c r="M55" i="2"/>
  <c r="M57" i="2"/>
  <c r="M56" i="2"/>
  <c r="M58" i="2"/>
  <c r="M49" i="2"/>
  <c r="M48" i="2"/>
  <c r="M47" i="2"/>
  <c r="M46" i="2"/>
  <c r="M45" i="2"/>
  <c r="M43" i="2"/>
  <c r="M41" i="2"/>
  <c r="M38" i="2"/>
  <c r="M36" i="2"/>
  <c r="M37" i="2"/>
  <c r="M35" i="2"/>
  <c r="M27" i="2"/>
  <c r="M31" i="2"/>
  <c r="M26" i="2"/>
  <c r="M29" i="2"/>
  <c r="M28" i="2"/>
  <c r="M24" i="2"/>
  <c r="M25" i="2"/>
  <c r="M22" i="2"/>
  <c r="M14" i="2"/>
  <c r="M13" i="2"/>
  <c r="M12" i="2"/>
  <c r="M11" i="2"/>
  <c r="M9" i="2"/>
  <c r="M4" i="2"/>
  <c r="L10" i="5" s="1"/>
  <c r="M5" i="2"/>
  <c r="M6" i="2"/>
  <c r="M7" i="2"/>
  <c r="M8" i="2"/>
  <c r="M10" i="2"/>
  <c r="M21" i="2"/>
  <c r="M23" i="2"/>
  <c r="M33" i="2"/>
  <c r="M32" i="2"/>
  <c r="M34" i="2"/>
  <c r="M39" i="2"/>
  <c r="M50" i="2"/>
  <c r="M51" i="2"/>
  <c r="M52" i="2"/>
  <c r="M53" i="2"/>
  <c r="M54" i="2"/>
  <c r="M59" i="2"/>
  <c r="M60" i="2"/>
  <c r="M64" i="2"/>
  <c r="M66" i="2"/>
  <c r="M67" i="2"/>
  <c r="M69" i="2"/>
  <c r="M70" i="2"/>
  <c r="M72" i="2"/>
  <c r="M73" i="2"/>
  <c r="M78" i="2"/>
  <c r="M79" i="2"/>
  <c r="M74" i="2"/>
  <c r="M75" i="2"/>
  <c r="M71" i="2"/>
  <c r="M81" i="2"/>
  <c r="M80" i="2"/>
  <c r="M82" i="2"/>
  <c r="M83" i="2"/>
  <c r="M84" i="2"/>
  <c r="M87" i="2"/>
  <c r="M86" i="2"/>
  <c r="M85" i="2"/>
  <c r="M88" i="2"/>
  <c r="M89" i="2"/>
  <c r="M91" i="2"/>
  <c r="M92" i="2"/>
  <c r="M96" i="2"/>
  <c r="M97" i="2"/>
  <c r="M10" i="12" s="1"/>
  <c r="M98" i="2"/>
  <c r="M99" i="2"/>
  <c r="M100" i="2"/>
  <c r="M102" i="2"/>
  <c r="M103" i="2"/>
  <c r="M107" i="2"/>
  <c r="M108" i="2"/>
  <c r="M109" i="2"/>
  <c r="M112" i="2"/>
  <c r="M114" i="2"/>
  <c r="M115" i="2"/>
  <c r="M116" i="2"/>
  <c r="M117" i="2"/>
  <c r="M120" i="2"/>
  <c r="M121" i="2"/>
  <c r="M122" i="2"/>
  <c r="M123" i="2"/>
  <c r="M36" i="12" s="1"/>
  <c r="M125" i="2"/>
  <c r="M127" i="2"/>
  <c r="M3" i="2"/>
  <c r="B36" i="12"/>
  <c r="C36" i="12"/>
  <c r="D36" i="12"/>
  <c r="E36" i="12"/>
  <c r="F36" i="12"/>
  <c r="G36" i="12"/>
  <c r="H36" i="12"/>
  <c r="I36" i="12"/>
  <c r="J36" i="12"/>
  <c r="K36" i="12"/>
  <c r="L36" i="12"/>
  <c r="C10" i="5"/>
  <c r="D10" i="5"/>
  <c r="E10" i="5"/>
  <c r="F10" i="5"/>
  <c r="G10" i="5"/>
  <c r="H10" i="5"/>
  <c r="I10" i="5"/>
  <c r="J10" i="5"/>
  <c r="K10" i="5"/>
  <c r="B10" i="5"/>
  <c r="B9" i="13" l="1"/>
  <c r="C9" i="13"/>
  <c r="D9" i="13"/>
  <c r="E9" i="13"/>
  <c r="F9" i="13"/>
  <c r="G9" i="13"/>
  <c r="H9" i="13"/>
  <c r="I9" i="13"/>
  <c r="J9" i="13"/>
  <c r="K9" i="13"/>
  <c r="L9" i="13"/>
  <c r="M9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C8" i="13"/>
  <c r="M8" i="13"/>
  <c r="L8" i="13"/>
  <c r="K8" i="13"/>
  <c r="J8" i="13"/>
  <c r="I8" i="13"/>
  <c r="H8" i="13"/>
  <c r="G8" i="13"/>
  <c r="F8" i="13"/>
  <c r="E8" i="13"/>
  <c r="D8" i="13"/>
  <c r="B8" i="13"/>
  <c r="B8" i="12"/>
  <c r="C8" i="12"/>
  <c r="D8" i="12"/>
  <c r="E8" i="12"/>
  <c r="F8" i="12"/>
  <c r="G8" i="12"/>
  <c r="H8" i="12"/>
  <c r="I8" i="12"/>
  <c r="J8" i="12"/>
  <c r="K8" i="12"/>
  <c r="L8" i="12"/>
  <c r="M8" i="12"/>
  <c r="B9" i="12"/>
  <c r="C9" i="12"/>
  <c r="D9" i="12"/>
  <c r="E9" i="12"/>
  <c r="F9" i="12"/>
  <c r="G9" i="12"/>
  <c r="H9" i="12"/>
  <c r="I9" i="12"/>
  <c r="J9" i="12"/>
  <c r="K9" i="12"/>
  <c r="L9" i="12"/>
  <c r="M9" i="12"/>
  <c r="B10" i="12"/>
  <c r="C10" i="12"/>
  <c r="D10" i="12"/>
  <c r="E10" i="12"/>
  <c r="F10" i="12"/>
  <c r="G10" i="12"/>
  <c r="H10" i="12"/>
  <c r="I10" i="12"/>
  <c r="J10" i="12"/>
  <c r="K10" i="12"/>
  <c r="L10" i="12"/>
  <c r="B11" i="12"/>
  <c r="C11" i="12"/>
  <c r="D11" i="12"/>
  <c r="E11" i="12"/>
  <c r="F11" i="12"/>
  <c r="G11" i="12"/>
  <c r="H11" i="12"/>
  <c r="I11" i="12"/>
  <c r="J11" i="12"/>
  <c r="K11" i="12"/>
  <c r="L11" i="12"/>
  <c r="M11" i="12"/>
  <c r="B12" i="12"/>
  <c r="C12" i="12"/>
  <c r="D12" i="12"/>
  <c r="E12" i="12"/>
  <c r="F12" i="12"/>
  <c r="G12" i="12"/>
  <c r="H12" i="12"/>
  <c r="I12" i="12"/>
  <c r="J12" i="12"/>
  <c r="K12" i="12"/>
  <c r="L12" i="12"/>
  <c r="M12" i="12"/>
  <c r="B13" i="12"/>
  <c r="C13" i="12"/>
  <c r="D13" i="12"/>
  <c r="E13" i="12"/>
  <c r="F13" i="12"/>
  <c r="G13" i="12"/>
  <c r="H13" i="12"/>
  <c r="I13" i="12"/>
  <c r="J13" i="12"/>
  <c r="K13" i="12"/>
  <c r="L13" i="12"/>
  <c r="M13" i="12"/>
  <c r="B14" i="12"/>
  <c r="C14" i="12"/>
  <c r="D14" i="12"/>
  <c r="E14" i="12"/>
  <c r="F14" i="12"/>
  <c r="G14" i="12"/>
  <c r="H14" i="12"/>
  <c r="I14" i="12"/>
  <c r="J14" i="12"/>
  <c r="K14" i="12"/>
  <c r="L14" i="12"/>
  <c r="M14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B16" i="12"/>
  <c r="C16" i="12"/>
  <c r="D16" i="12"/>
  <c r="E16" i="12"/>
  <c r="F16" i="12"/>
  <c r="G16" i="12"/>
  <c r="H16" i="12"/>
  <c r="I16" i="12"/>
  <c r="J16" i="12"/>
  <c r="K16" i="12"/>
  <c r="L16" i="12"/>
  <c r="M16" i="12"/>
  <c r="B17" i="12"/>
  <c r="C17" i="12"/>
  <c r="D17" i="12"/>
  <c r="E17" i="12"/>
  <c r="F17" i="12"/>
  <c r="G17" i="12"/>
  <c r="H17" i="12"/>
  <c r="I17" i="12"/>
  <c r="J17" i="12"/>
  <c r="K17" i="12"/>
  <c r="L17" i="12"/>
  <c r="M17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B22" i="12"/>
  <c r="C22" i="12"/>
  <c r="D22" i="12"/>
  <c r="E22" i="12"/>
  <c r="F22" i="12"/>
  <c r="G22" i="12"/>
  <c r="H22" i="12"/>
  <c r="I22" i="12"/>
  <c r="J22" i="12"/>
  <c r="K22" i="12"/>
  <c r="L22" i="12"/>
  <c r="M22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B27" i="12"/>
  <c r="C27" i="12"/>
  <c r="D27" i="12"/>
  <c r="E27" i="12"/>
  <c r="F27" i="12"/>
  <c r="G27" i="12"/>
  <c r="H27" i="12"/>
  <c r="I27" i="12"/>
  <c r="J27" i="12"/>
  <c r="K27" i="12"/>
  <c r="L27" i="12"/>
  <c r="M27" i="12"/>
  <c r="B28" i="12"/>
  <c r="C28" i="12"/>
  <c r="D28" i="12"/>
  <c r="E28" i="12"/>
  <c r="F28" i="12"/>
  <c r="G28" i="12"/>
  <c r="H28" i="12"/>
  <c r="I28" i="12"/>
  <c r="J28" i="12"/>
  <c r="K28" i="12"/>
  <c r="L28" i="12"/>
  <c r="M28" i="12"/>
  <c r="B29" i="12"/>
  <c r="C29" i="12"/>
  <c r="D29" i="12"/>
  <c r="E29" i="12"/>
  <c r="F29" i="12"/>
  <c r="G29" i="12"/>
  <c r="H29" i="12"/>
  <c r="I29" i="12"/>
  <c r="J29" i="12"/>
  <c r="K29" i="12"/>
  <c r="L29" i="12"/>
  <c r="M29" i="12"/>
  <c r="B30" i="12"/>
  <c r="C30" i="12"/>
  <c r="D30" i="12"/>
  <c r="E30" i="12"/>
  <c r="F30" i="12"/>
  <c r="G30" i="12"/>
  <c r="H30" i="12"/>
  <c r="I30" i="12"/>
  <c r="J30" i="12"/>
  <c r="K30" i="12"/>
  <c r="L30" i="12"/>
  <c r="M30" i="12"/>
  <c r="B31" i="12"/>
  <c r="C31" i="12"/>
  <c r="D31" i="12"/>
  <c r="E31" i="12"/>
  <c r="F31" i="12"/>
  <c r="G31" i="12"/>
  <c r="H31" i="12"/>
  <c r="I31" i="12"/>
  <c r="J31" i="12"/>
  <c r="K31" i="12"/>
  <c r="L31" i="12"/>
  <c r="M31" i="12"/>
  <c r="B32" i="12"/>
  <c r="C32" i="12"/>
  <c r="D32" i="12"/>
  <c r="E32" i="12"/>
  <c r="F32" i="12"/>
  <c r="G32" i="12"/>
  <c r="H32" i="12"/>
  <c r="I32" i="12"/>
  <c r="J32" i="12"/>
  <c r="K32" i="12"/>
  <c r="L32" i="12"/>
  <c r="M32" i="12"/>
  <c r="B33" i="12"/>
  <c r="C33" i="12"/>
  <c r="D33" i="12"/>
  <c r="E33" i="12"/>
  <c r="F33" i="12"/>
  <c r="G33" i="12"/>
  <c r="H33" i="12"/>
  <c r="I33" i="12"/>
  <c r="J33" i="12"/>
  <c r="K33" i="12"/>
  <c r="L33" i="12"/>
  <c r="M33" i="12"/>
  <c r="B34" i="12"/>
  <c r="C34" i="12"/>
  <c r="D34" i="12"/>
  <c r="E34" i="12"/>
  <c r="F34" i="12"/>
  <c r="G34" i="12"/>
  <c r="H34" i="12"/>
  <c r="I34" i="12"/>
  <c r="J34" i="12"/>
  <c r="K34" i="12"/>
  <c r="L34" i="12"/>
  <c r="M34" i="12"/>
  <c r="B35" i="12"/>
  <c r="C35" i="12"/>
  <c r="D35" i="12"/>
  <c r="E35" i="12"/>
  <c r="F35" i="12"/>
  <c r="G35" i="12"/>
  <c r="H35" i="12"/>
  <c r="I35" i="12"/>
  <c r="J35" i="12"/>
  <c r="K35" i="12"/>
  <c r="L35" i="12"/>
  <c r="M35" i="12"/>
  <c r="M7" i="12"/>
  <c r="L7" i="12"/>
  <c r="K7" i="12"/>
  <c r="J7" i="12"/>
  <c r="I7" i="12"/>
  <c r="H7" i="12"/>
  <c r="G7" i="12"/>
  <c r="F7" i="12"/>
  <c r="E7" i="12"/>
  <c r="D7" i="12"/>
  <c r="B7" i="12"/>
  <c r="B10" i="14"/>
  <c r="C10" i="14"/>
  <c r="D10" i="14"/>
  <c r="E10" i="14"/>
  <c r="F10" i="14"/>
  <c r="G10" i="14"/>
  <c r="H10" i="14"/>
  <c r="I10" i="14"/>
  <c r="J10" i="14"/>
  <c r="K10" i="14"/>
  <c r="L10" i="14"/>
  <c r="B11" i="14"/>
  <c r="C11" i="14"/>
  <c r="D11" i="14"/>
  <c r="E11" i="14"/>
  <c r="F11" i="14"/>
  <c r="G11" i="14"/>
  <c r="H11" i="14"/>
  <c r="I11" i="14"/>
  <c r="J11" i="14"/>
  <c r="K11" i="14"/>
  <c r="L11" i="14"/>
  <c r="B12" i="14"/>
  <c r="C12" i="14"/>
  <c r="D12" i="14"/>
  <c r="E12" i="14"/>
  <c r="F12" i="14"/>
  <c r="G12" i="14"/>
  <c r="H12" i="14"/>
  <c r="I12" i="14"/>
  <c r="J12" i="14"/>
  <c r="K12" i="14"/>
  <c r="L12" i="14"/>
  <c r="B13" i="14"/>
  <c r="C13" i="14"/>
  <c r="D13" i="14"/>
  <c r="E13" i="14"/>
  <c r="F13" i="14"/>
  <c r="G13" i="14"/>
  <c r="H13" i="14"/>
  <c r="I13" i="14"/>
  <c r="J13" i="14"/>
  <c r="K13" i="14"/>
  <c r="L13" i="14"/>
  <c r="B14" i="14"/>
  <c r="C14" i="14"/>
  <c r="D14" i="14"/>
  <c r="E14" i="14"/>
  <c r="F14" i="14"/>
  <c r="G14" i="14"/>
  <c r="H14" i="14"/>
  <c r="I14" i="14"/>
  <c r="J14" i="14"/>
  <c r="K14" i="14"/>
  <c r="L14" i="14"/>
  <c r="B15" i="14"/>
  <c r="C15" i="14"/>
  <c r="D15" i="14"/>
  <c r="E15" i="14"/>
  <c r="F15" i="14"/>
  <c r="G15" i="14"/>
  <c r="H15" i="14"/>
  <c r="I15" i="14"/>
  <c r="J15" i="14"/>
  <c r="K15" i="14"/>
  <c r="L15" i="14"/>
  <c r="B16" i="14"/>
  <c r="C16" i="14"/>
  <c r="D16" i="14"/>
  <c r="E16" i="14"/>
  <c r="F16" i="14"/>
  <c r="G16" i="14"/>
  <c r="H16" i="14"/>
  <c r="I16" i="14"/>
  <c r="J16" i="14"/>
  <c r="K16" i="14"/>
  <c r="L16" i="14"/>
  <c r="B17" i="14"/>
  <c r="C17" i="14"/>
  <c r="D17" i="14"/>
  <c r="E17" i="14"/>
  <c r="F17" i="14"/>
  <c r="G17" i="14"/>
  <c r="H17" i="14"/>
  <c r="I17" i="14"/>
  <c r="J17" i="14"/>
  <c r="K17" i="14"/>
  <c r="L17" i="14"/>
  <c r="B18" i="14"/>
  <c r="C18" i="14"/>
  <c r="D18" i="14"/>
  <c r="E18" i="14"/>
  <c r="F18" i="14"/>
  <c r="G18" i="14"/>
  <c r="H18" i="14"/>
  <c r="I18" i="14"/>
  <c r="J18" i="14"/>
  <c r="K18" i="14"/>
  <c r="L18" i="14"/>
  <c r="B19" i="14"/>
  <c r="C19" i="14"/>
  <c r="D19" i="14"/>
  <c r="E19" i="14"/>
  <c r="F19" i="14"/>
  <c r="G19" i="14"/>
  <c r="H19" i="14"/>
  <c r="I19" i="14"/>
  <c r="J19" i="14"/>
  <c r="K19" i="14"/>
  <c r="L19" i="14"/>
  <c r="B20" i="14"/>
  <c r="C20" i="14"/>
  <c r="D20" i="14"/>
  <c r="E20" i="14"/>
  <c r="F20" i="14"/>
  <c r="G20" i="14"/>
  <c r="H20" i="14"/>
  <c r="I20" i="14"/>
  <c r="J20" i="14"/>
  <c r="K20" i="14"/>
  <c r="L20" i="14"/>
  <c r="L9" i="14"/>
  <c r="K9" i="14"/>
  <c r="J9" i="14"/>
  <c r="I9" i="14"/>
  <c r="H9" i="14"/>
  <c r="G9" i="14"/>
  <c r="F9" i="14"/>
  <c r="E9" i="14"/>
  <c r="D9" i="14"/>
  <c r="B9" i="14"/>
  <c r="B9" i="11"/>
  <c r="C9" i="11"/>
  <c r="D9" i="11"/>
  <c r="E9" i="11"/>
  <c r="F9" i="11"/>
  <c r="G9" i="11"/>
  <c r="H9" i="11"/>
  <c r="I9" i="11"/>
  <c r="J9" i="11"/>
  <c r="K9" i="11"/>
  <c r="M9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M8" i="11"/>
  <c r="K8" i="11"/>
  <c r="J8" i="11"/>
  <c r="I8" i="11"/>
  <c r="H8" i="11"/>
  <c r="G8" i="11"/>
  <c r="F8" i="11"/>
  <c r="E8" i="11"/>
  <c r="D8" i="11"/>
  <c r="B8" i="11"/>
  <c r="B10" i="10"/>
  <c r="C10" i="10"/>
  <c r="D10" i="10"/>
  <c r="E10" i="10"/>
  <c r="F10" i="10"/>
  <c r="G10" i="10"/>
  <c r="H10" i="10"/>
  <c r="I10" i="10"/>
  <c r="J10" i="10"/>
  <c r="K10" i="10"/>
  <c r="L10" i="10"/>
  <c r="M10" i="10"/>
  <c r="B11" i="10"/>
  <c r="C11" i="10"/>
  <c r="D11" i="10"/>
  <c r="E11" i="10"/>
  <c r="F11" i="10"/>
  <c r="G11" i="10"/>
  <c r="H11" i="10"/>
  <c r="I11" i="10"/>
  <c r="J11" i="10"/>
  <c r="K11" i="10"/>
  <c r="L11" i="10"/>
  <c r="M11" i="10"/>
  <c r="B12" i="10"/>
  <c r="C12" i="10"/>
  <c r="D12" i="10"/>
  <c r="E12" i="10"/>
  <c r="F12" i="10"/>
  <c r="G12" i="10"/>
  <c r="H12" i="10"/>
  <c r="I12" i="10"/>
  <c r="J12" i="10"/>
  <c r="K12" i="10"/>
  <c r="L12" i="10"/>
  <c r="M12" i="10"/>
  <c r="B13" i="10"/>
  <c r="C13" i="10"/>
  <c r="D13" i="10"/>
  <c r="E13" i="10"/>
  <c r="F13" i="10"/>
  <c r="G13" i="10"/>
  <c r="H13" i="10"/>
  <c r="I13" i="10"/>
  <c r="J13" i="10"/>
  <c r="K13" i="10"/>
  <c r="L13" i="10"/>
  <c r="M13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B15" i="10"/>
  <c r="C15" i="10"/>
  <c r="D15" i="10"/>
  <c r="E15" i="10"/>
  <c r="F15" i="10"/>
  <c r="G15" i="10"/>
  <c r="H15" i="10"/>
  <c r="I15" i="10"/>
  <c r="J15" i="10"/>
  <c r="K15" i="10"/>
  <c r="L15" i="10"/>
  <c r="M15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B17" i="10"/>
  <c r="C17" i="10"/>
  <c r="D17" i="10"/>
  <c r="E17" i="10"/>
  <c r="F17" i="10"/>
  <c r="G17" i="10"/>
  <c r="H17" i="10"/>
  <c r="I17" i="10"/>
  <c r="J17" i="10"/>
  <c r="K17" i="10"/>
  <c r="L17" i="10"/>
  <c r="M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B19" i="10"/>
  <c r="C19" i="10"/>
  <c r="D19" i="10"/>
  <c r="E19" i="10"/>
  <c r="F19" i="10"/>
  <c r="G19" i="10"/>
  <c r="H19" i="10"/>
  <c r="I19" i="10"/>
  <c r="J19" i="10"/>
  <c r="K19" i="10"/>
  <c r="L19" i="10"/>
  <c r="M19" i="10"/>
  <c r="B20" i="10"/>
  <c r="C20" i="10"/>
  <c r="D20" i="10"/>
  <c r="E20" i="10"/>
  <c r="F20" i="10"/>
  <c r="G20" i="10"/>
  <c r="H20" i="10"/>
  <c r="I20" i="10"/>
  <c r="J20" i="10"/>
  <c r="K20" i="10"/>
  <c r="L20" i="10"/>
  <c r="M20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B22" i="10"/>
  <c r="C22" i="10"/>
  <c r="D22" i="10"/>
  <c r="E22" i="10"/>
  <c r="F22" i="10"/>
  <c r="G22" i="10"/>
  <c r="H22" i="10"/>
  <c r="I22" i="10"/>
  <c r="J22" i="10"/>
  <c r="K22" i="10"/>
  <c r="L22" i="10"/>
  <c r="M22" i="10"/>
  <c r="B23" i="10"/>
  <c r="C23" i="10"/>
  <c r="D23" i="10"/>
  <c r="E23" i="10"/>
  <c r="F23" i="10"/>
  <c r="G23" i="10"/>
  <c r="H23" i="10"/>
  <c r="I23" i="10"/>
  <c r="J23" i="10"/>
  <c r="K23" i="10"/>
  <c r="L23" i="10"/>
  <c r="M23" i="10"/>
  <c r="B24" i="10"/>
  <c r="C24" i="10"/>
  <c r="D24" i="10"/>
  <c r="E24" i="10"/>
  <c r="F24" i="10"/>
  <c r="G24" i="10"/>
  <c r="H24" i="10"/>
  <c r="I24" i="10"/>
  <c r="J24" i="10"/>
  <c r="K24" i="10"/>
  <c r="L24" i="10"/>
  <c r="M24" i="10"/>
  <c r="B25" i="10"/>
  <c r="C25" i="10"/>
  <c r="D25" i="10"/>
  <c r="E25" i="10"/>
  <c r="F25" i="10"/>
  <c r="G25" i="10"/>
  <c r="H25" i="10"/>
  <c r="I25" i="10"/>
  <c r="J25" i="10"/>
  <c r="K25" i="10"/>
  <c r="L25" i="10"/>
  <c r="M25" i="10"/>
  <c r="B26" i="10"/>
  <c r="C26" i="10"/>
  <c r="D26" i="10"/>
  <c r="E26" i="10"/>
  <c r="F26" i="10"/>
  <c r="G26" i="10"/>
  <c r="H26" i="10"/>
  <c r="I26" i="10"/>
  <c r="J26" i="10"/>
  <c r="K26" i="10"/>
  <c r="B27" i="10"/>
  <c r="C27" i="10"/>
  <c r="D27" i="10"/>
  <c r="E27" i="10"/>
  <c r="F27" i="10"/>
  <c r="G27" i="10"/>
  <c r="H27" i="10"/>
  <c r="I27" i="10"/>
  <c r="J27" i="10"/>
  <c r="K27" i="10"/>
  <c r="B28" i="10"/>
  <c r="C28" i="10"/>
  <c r="D28" i="10"/>
  <c r="E28" i="10"/>
  <c r="F28" i="10"/>
  <c r="G28" i="10"/>
  <c r="H28" i="10"/>
  <c r="I28" i="10"/>
  <c r="J28" i="10"/>
  <c r="K28" i="10"/>
  <c r="B29" i="10"/>
  <c r="C29" i="10"/>
  <c r="D29" i="10"/>
  <c r="E29" i="10"/>
  <c r="F29" i="10"/>
  <c r="G29" i="10"/>
  <c r="H29" i="10"/>
  <c r="I29" i="10"/>
  <c r="J29" i="10"/>
  <c r="K29" i="10"/>
  <c r="M9" i="10"/>
  <c r="L9" i="10"/>
  <c r="K9" i="10"/>
  <c r="J9" i="10"/>
  <c r="I9" i="10"/>
  <c r="H9" i="10"/>
  <c r="G9" i="10"/>
  <c r="F9" i="10"/>
  <c r="E9" i="10"/>
  <c r="D9" i="10"/>
  <c r="C9" i="10"/>
  <c r="B9" i="10"/>
  <c r="B13" i="9"/>
  <c r="C13" i="9"/>
  <c r="D13" i="9"/>
  <c r="E13" i="9"/>
  <c r="F13" i="9"/>
  <c r="G13" i="9"/>
  <c r="H13" i="9"/>
  <c r="I13" i="9"/>
  <c r="J13" i="9"/>
  <c r="K13" i="9"/>
  <c r="L13" i="9"/>
  <c r="M13" i="9"/>
  <c r="B14" i="9"/>
  <c r="C14" i="9"/>
  <c r="D14" i="9"/>
  <c r="E14" i="9"/>
  <c r="F14" i="9"/>
  <c r="G14" i="9"/>
  <c r="H14" i="9"/>
  <c r="I14" i="9"/>
  <c r="J14" i="9"/>
  <c r="K14" i="9"/>
  <c r="L14" i="9"/>
  <c r="M14" i="9"/>
  <c r="B15" i="9"/>
  <c r="C15" i="9"/>
  <c r="D15" i="9"/>
  <c r="E15" i="9"/>
  <c r="F15" i="9"/>
  <c r="G15" i="9"/>
  <c r="H15" i="9"/>
  <c r="I15" i="9"/>
  <c r="J15" i="9"/>
  <c r="K15" i="9"/>
  <c r="L15" i="9"/>
  <c r="M15" i="9"/>
  <c r="B16" i="9"/>
  <c r="C16" i="9"/>
  <c r="D16" i="9"/>
  <c r="E16" i="9"/>
  <c r="F16" i="9"/>
  <c r="G16" i="9"/>
  <c r="H16" i="9"/>
  <c r="I16" i="9"/>
  <c r="J16" i="9"/>
  <c r="K16" i="9"/>
  <c r="L16" i="9"/>
  <c r="M16" i="9"/>
  <c r="C10" i="9"/>
  <c r="C11" i="9"/>
  <c r="C12" i="9"/>
  <c r="C9" i="9"/>
  <c r="B10" i="9"/>
  <c r="D10" i="9"/>
  <c r="E10" i="9"/>
  <c r="F10" i="9"/>
  <c r="G10" i="9"/>
  <c r="H10" i="9"/>
  <c r="I10" i="9"/>
  <c r="J10" i="9"/>
  <c r="K10" i="9"/>
  <c r="L10" i="9"/>
  <c r="M10" i="9"/>
  <c r="B11" i="9"/>
  <c r="D11" i="9"/>
  <c r="E11" i="9"/>
  <c r="F11" i="9"/>
  <c r="G11" i="9"/>
  <c r="H11" i="9"/>
  <c r="I11" i="9"/>
  <c r="J11" i="9"/>
  <c r="K11" i="9"/>
  <c r="L11" i="9"/>
  <c r="M11" i="9"/>
  <c r="B12" i="9"/>
  <c r="D12" i="9"/>
  <c r="E12" i="9"/>
  <c r="F12" i="9"/>
  <c r="G12" i="9"/>
  <c r="H12" i="9"/>
  <c r="I12" i="9"/>
  <c r="J12" i="9"/>
  <c r="K12" i="9"/>
  <c r="L12" i="9"/>
  <c r="M12" i="9"/>
  <c r="M9" i="9"/>
  <c r="L9" i="9"/>
  <c r="K9" i="9"/>
  <c r="J9" i="9"/>
  <c r="I9" i="9"/>
  <c r="H9" i="9"/>
  <c r="G9" i="9"/>
  <c r="F9" i="9"/>
  <c r="E9" i="9"/>
  <c r="D9" i="9"/>
  <c r="B9" i="9"/>
  <c r="B9" i="8"/>
  <c r="C9" i="8"/>
  <c r="D9" i="8"/>
  <c r="E9" i="8"/>
  <c r="F9" i="8"/>
  <c r="G9" i="8"/>
  <c r="H9" i="8"/>
  <c r="I9" i="8"/>
  <c r="J9" i="8"/>
  <c r="K9" i="8"/>
  <c r="L9" i="8"/>
  <c r="M9" i="8"/>
  <c r="B10" i="8"/>
  <c r="C10" i="8"/>
  <c r="D10" i="8"/>
  <c r="E10" i="8"/>
  <c r="F10" i="8"/>
  <c r="G10" i="8"/>
  <c r="H10" i="8"/>
  <c r="I10" i="8"/>
  <c r="J10" i="8"/>
  <c r="K10" i="8"/>
  <c r="L10" i="8"/>
  <c r="M10" i="8"/>
  <c r="B11" i="8"/>
  <c r="C11" i="8"/>
  <c r="D11" i="8"/>
  <c r="E11" i="8"/>
  <c r="F11" i="8"/>
  <c r="G11" i="8"/>
  <c r="H11" i="8"/>
  <c r="I11" i="8"/>
  <c r="J11" i="8"/>
  <c r="K11" i="8"/>
  <c r="L11" i="8"/>
  <c r="M11" i="8"/>
  <c r="B12" i="8"/>
  <c r="C12" i="8"/>
  <c r="D12" i="8"/>
  <c r="E12" i="8"/>
  <c r="F12" i="8"/>
  <c r="G12" i="8"/>
  <c r="H12" i="8"/>
  <c r="I12" i="8"/>
  <c r="J12" i="8"/>
  <c r="K12" i="8"/>
  <c r="L12" i="8"/>
  <c r="M12" i="8"/>
  <c r="B13" i="8"/>
  <c r="C13" i="8"/>
  <c r="D13" i="8"/>
  <c r="E13" i="8"/>
  <c r="F13" i="8"/>
  <c r="G13" i="8"/>
  <c r="H13" i="8"/>
  <c r="I13" i="8"/>
  <c r="J13" i="8"/>
  <c r="K13" i="8"/>
  <c r="L13" i="8"/>
  <c r="M13" i="8"/>
  <c r="B14" i="8"/>
  <c r="C14" i="8"/>
  <c r="D14" i="8"/>
  <c r="E14" i="8"/>
  <c r="F14" i="8"/>
  <c r="G14" i="8"/>
  <c r="H14" i="8"/>
  <c r="I14" i="8"/>
  <c r="J14" i="8"/>
  <c r="K14" i="8"/>
  <c r="L14" i="8"/>
  <c r="M14" i="8"/>
  <c r="B15" i="8"/>
  <c r="C15" i="8"/>
  <c r="D15" i="8"/>
  <c r="E15" i="8"/>
  <c r="F15" i="8"/>
  <c r="G15" i="8"/>
  <c r="H15" i="8"/>
  <c r="I15" i="8"/>
  <c r="J15" i="8"/>
  <c r="K15" i="8"/>
  <c r="L15" i="8"/>
  <c r="M15" i="8"/>
  <c r="B16" i="8"/>
  <c r="C16" i="8"/>
  <c r="D16" i="8"/>
  <c r="E16" i="8"/>
  <c r="F16" i="8"/>
  <c r="G16" i="8"/>
  <c r="H16" i="8"/>
  <c r="I16" i="8"/>
  <c r="J16" i="8"/>
  <c r="K16" i="8"/>
  <c r="L16" i="8"/>
  <c r="M16" i="8"/>
  <c r="B17" i="8"/>
  <c r="C17" i="8"/>
  <c r="D17" i="8"/>
  <c r="E17" i="8"/>
  <c r="F17" i="8"/>
  <c r="G17" i="8"/>
  <c r="H17" i="8"/>
  <c r="I17" i="8"/>
  <c r="J17" i="8"/>
  <c r="K17" i="8"/>
  <c r="L17" i="8"/>
  <c r="M17" i="8"/>
  <c r="B18" i="8"/>
  <c r="C18" i="8"/>
  <c r="D18" i="8"/>
  <c r="E18" i="8"/>
  <c r="F18" i="8"/>
  <c r="G18" i="8"/>
  <c r="H18" i="8"/>
  <c r="I18" i="8"/>
  <c r="J18" i="8"/>
  <c r="K18" i="8"/>
  <c r="L18" i="8"/>
  <c r="M18" i="8"/>
  <c r="B19" i="8"/>
  <c r="C19" i="8"/>
  <c r="D19" i="8"/>
  <c r="E19" i="8"/>
  <c r="F19" i="8"/>
  <c r="G19" i="8"/>
  <c r="H19" i="8"/>
  <c r="I19" i="8"/>
  <c r="J19" i="8"/>
  <c r="K19" i="8"/>
  <c r="L19" i="8"/>
  <c r="M19" i="8"/>
  <c r="B20" i="8"/>
  <c r="C20" i="8"/>
  <c r="D20" i="8"/>
  <c r="E20" i="8"/>
  <c r="F20" i="8"/>
  <c r="G20" i="8"/>
  <c r="H20" i="8"/>
  <c r="I20" i="8"/>
  <c r="J20" i="8"/>
  <c r="K20" i="8"/>
  <c r="L20" i="8"/>
  <c r="M20" i="8"/>
  <c r="B21" i="8"/>
  <c r="C21" i="8"/>
  <c r="D21" i="8"/>
  <c r="E21" i="8"/>
  <c r="F21" i="8"/>
  <c r="G21" i="8"/>
  <c r="H21" i="8"/>
  <c r="I21" i="8"/>
  <c r="J21" i="8"/>
  <c r="K21" i="8"/>
  <c r="L21" i="8"/>
  <c r="M21" i="8"/>
  <c r="B22" i="8"/>
  <c r="C22" i="8"/>
  <c r="D22" i="8"/>
  <c r="E22" i="8"/>
  <c r="F22" i="8"/>
  <c r="G22" i="8"/>
  <c r="H22" i="8"/>
  <c r="I22" i="8"/>
  <c r="J22" i="8"/>
  <c r="K22" i="8"/>
  <c r="L22" i="8"/>
  <c r="M22" i="8"/>
  <c r="B23" i="8"/>
  <c r="C23" i="8"/>
  <c r="D23" i="8"/>
  <c r="E23" i="8"/>
  <c r="F23" i="8"/>
  <c r="G23" i="8"/>
  <c r="H23" i="8"/>
  <c r="I23" i="8"/>
  <c r="J23" i="8"/>
  <c r="K23" i="8"/>
  <c r="L23" i="8"/>
  <c r="M23" i="8"/>
  <c r="B24" i="8"/>
  <c r="C24" i="8"/>
  <c r="D24" i="8"/>
  <c r="E24" i="8"/>
  <c r="F24" i="8"/>
  <c r="G24" i="8"/>
  <c r="H24" i="8"/>
  <c r="I24" i="8"/>
  <c r="J24" i="8"/>
  <c r="K24" i="8"/>
  <c r="L24" i="8"/>
  <c r="M24" i="8"/>
  <c r="B25" i="8"/>
  <c r="C25" i="8"/>
  <c r="D25" i="8"/>
  <c r="E25" i="8"/>
  <c r="F25" i="8"/>
  <c r="G25" i="8"/>
  <c r="H25" i="8"/>
  <c r="I25" i="8"/>
  <c r="J25" i="8"/>
  <c r="K25" i="8"/>
  <c r="L25" i="8"/>
  <c r="M25" i="8"/>
  <c r="B26" i="8"/>
  <c r="C26" i="8"/>
  <c r="D26" i="8"/>
  <c r="E26" i="8"/>
  <c r="F26" i="8"/>
  <c r="G26" i="8"/>
  <c r="H26" i="8"/>
  <c r="I26" i="8"/>
  <c r="J26" i="8"/>
  <c r="K26" i="8"/>
  <c r="L26" i="8"/>
  <c r="M26" i="8"/>
  <c r="B27" i="8"/>
  <c r="C27" i="8"/>
  <c r="D27" i="8"/>
  <c r="E27" i="8"/>
  <c r="F27" i="8"/>
  <c r="G27" i="8"/>
  <c r="H27" i="8"/>
  <c r="I27" i="8"/>
  <c r="J27" i="8"/>
  <c r="K27" i="8"/>
  <c r="L27" i="8"/>
  <c r="M27" i="8"/>
  <c r="B28" i="8"/>
  <c r="C28" i="8"/>
  <c r="D28" i="8"/>
  <c r="E28" i="8"/>
  <c r="F28" i="8"/>
  <c r="G28" i="8"/>
  <c r="H28" i="8"/>
  <c r="I28" i="8"/>
  <c r="J28" i="8"/>
  <c r="K28" i="8"/>
  <c r="L28" i="8"/>
  <c r="M28" i="8"/>
  <c r="B10" i="15"/>
  <c r="C10" i="15"/>
  <c r="D10" i="15"/>
  <c r="E10" i="15"/>
  <c r="F10" i="15"/>
  <c r="H10" i="15"/>
  <c r="I10" i="15"/>
  <c r="J10" i="15"/>
  <c r="K10" i="15"/>
  <c r="L10" i="15"/>
  <c r="M10" i="15"/>
  <c r="B11" i="15"/>
  <c r="C11" i="15"/>
  <c r="D11" i="15"/>
  <c r="E11" i="15"/>
  <c r="F11" i="15"/>
  <c r="G11" i="15"/>
  <c r="H11" i="15"/>
  <c r="I11" i="15"/>
  <c r="J11" i="15"/>
  <c r="K11" i="15"/>
  <c r="L11" i="15"/>
  <c r="M11" i="15"/>
  <c r="B12" i="15"/>
  <c r="C12" i="15"/>
  <c r="D12" i="15"/>
  <c r="E12" i="15"/>
  <c r="F12" i="15"/>
  <c r="G12" i="15"/>
  <c r="H12" i="15"/>
  <c r="I12" i="15"/>
  <c r="J12" i="15"/>
  <c r="K12" i="15"/>
  <c r="L12" i="15"/>
  <c r="M12" i="15"/>
  <c r="B13" i="15"/>
  <c r="C13" i="15"/>
  <c r="D13" i="15"/>
  <c r="E13" i="15"/>
  <c r="F13" i="15"/>
  <c r="G13" i="15"/>
  <c r="H13" i="15"/>
  <c r="I13" i="15"/>
  <c r="J13" i="15"/>
  <c r="K13" i="15"/>
  <c r="L13" i="15"/>
  <c r="M13" i="15"/>
  <c r="B14" i="15"/>
  <c r="C14" i="15"/>
  <c r="D14" i="15"/>
  <c r="E14" i="15"/>
  <c r="F14" i="15"/>
  <c r="G14" i="15"/>
  <c r="H14" i="15"/>
  <c r="I14" i="15"/>
  <c r="J14" i="15"/>
  <c r="K14" i="15"/>
  <c r="L14" i="15"/>
  <c r="M14" i="15"/>
  <c r="H9" i="15"/>
  <c r="E9" i="15"/>
  <c r="D9" i="15"/>
  <c r="C9" i="15"/>
  <c r="M9" i="15"/>
  <c r="L9" i="15"/>
  <c r="K9" i="15"/>
  <c r="J9" i="15"/>
  <c r="G9" i="15"/>
  <c r="F9" i="15"/>
  <c r="B9" i="15"/>
  <c r="L13" i="7" l="1"/>
  <c r="B13" i="7"/>
  <c r="D13" i="7"/>
  <c r="E13" i="7"/>
  <c r="F13" i="7"/>
  <c r="G13" i="7"/>
  <c r="H13" i="7"/>
  <c r="I13" i="7"/>
  <c r="J13" i="7"/>
  <c r="K13" i="7"/>
  <c r="C13" i="7"/>
  <c r="E12" i="7" l="1"/>
  <c r="E10" i="6"/>
  <c r="B9" i="6"/>
  <c r="D9" i="5"/>
  <c r="H12" i="5" l="1"/>
  <c r="E12" i="5"/>
  <c r="L8" i="11" l="1"/>
  <c r="L9" i="11"/>
  <c r="B8" i="8" l="1"/>
  <c r="C8" i="8"/>
  <c r="D8" i="8"/>
  <c r="E8" i="8"/>
  <c r="F8" i="8"/>
  <c r="G8" i="8"/>
  <c r="H8" i="8"/>
  <c r="I8" i="8"/>
  <c r="J8" i="8"/>
  <c r="K8" i="8"/>
  <c r="L8" i="8"/>
  <c r="M8" i="8"/>
  <c r="C7" i="12"/>
  <c r="C9" i="14"/>
  <c r="C8" i="11"/>
  <c r="B10" i="6"/>
  <c r="C10" i="6"/>
  <c r="D10" i="6"/>
  <c r="F10" i="6"/>
  <c r="G10" i="6"/>
  <c r="H10" i="6"/>
  <c r="I10" i="6"/>
  <c r="J10" i="6"/>
  <c r="K10" i="6"/>
  <c r="L10" i="6"/>
  <c r="C9" i="6"/>
  <c r="D9" i="6"/>
  <c r="F9" i="6"/>
  <c r="G9" i="6"/>
  <c r="H9" i="6"/>
  <c r="I9" i="6"/>
  <c r="J9" i="6"/>
  <c r="K9" i="6"/>
  <c r="L9" i="6"/>
  <c r="H11" i="5"/>
  <c r="G11" i="5"/>
  <c r="G12" i="5"/>
  <c r="F11" i="5"/>
  <c r="F12" i="5"/>
  <c r="E11" i="5"/>
  <c r="D11" i="5"/>
  <c r="C11" i="5"/>
  <c r="C12" i="5"/>
  <c r="B11" i="5"/>
  <c r="B12" i="5"/>
  <c r="I9" i="5"/>
  <c r="J9" i="5"/>
  <c r="L9" i="5"/>
  <c r="G9" i="5"/>
  <c r="H9" i="5"/>
  <c r="E9" i="5"/>
  <c r="F9" i="5"/>
  <c r="C9" i="5"/>
  <c r="B9" i="5"/>
  <c r="I12" i="5"/>
  <c r="J12" i="5"/>
  <c r="K12" i="5"/>
  <c r="L12" i="5"/>
  <c r="I11" i="5"/>
  <c r="J11" i="5"/>
  <c r="K11" i="5"/>
  <c r="L11" i="5"/>
  <c r="J6" i="12"/>
  <c r="J7" i="11"/>
  <c r="J8" i="10"/>
  <c r="J8" i="9"/>
  <c r="J7" i="13"/>
  <c r="I8" i="7"/>
  <c r="J7" i="8"/>
  <c r="J8" i="15"/>
  <c r="B8" i="14"/>
  <c r="C8" i="14"/>
  <c r="D8" i="14"/>
  <c r="E8" i="14"/>
  <c r="F8" i="14"/>
  <c r="G8" i="14"/>
  <c r="H8" i="14"/>
  <c r="I8" i="14"/>
  <c r="J8" i="14"/>
  <c r="K8" i="14"/>
  <c r="L8" i="14"/>
  <c r="B7" i="11"/>
  <c r="C7" i="11"/>
  <c r="D7" i="11"/>
  <c r="E7" i="11"/>
  <c r="F7" i="11"/>
  <c r="G7" i="11"/>
  <c r="H7" i="11"/>
  <c r="I7" i="11"/>
  <c r="K7" i="11"/>
  <c r="L7" i="11"/>
  <c r="M7" i="11"/>
  <c r="B8" i="10"/>
  <c r="C8" i="10"/>
  <c r="D8" i="10"/>
  <c r="E8" i="10"/>
  <c r="F8" i="10"/>
  <c r="G8" i="10"/>
  <c r="H8" i="10"/>
  <c r="I8" i="10"/>
  <c r="K8" i="10"/>
  <c r="L8" i="10"/>
  <c r="M8" i="10"/>
  <c r="B8" i="9"/>
  <c r="C8" i="9"/>
  <c r="D8" i="9"/>
  <c r="E8" i="9"/>
  <c r="F8" i="9"/>
  <c r="G8" i="9"/>
  <c r="H8" i="9"/>
  <c r="I8" i="9"/>
  <c r="K8" i="9"/>
  <c r="L8" i="9"/>
  <c r="M8" i="9"/>
  <c r="B7" i="13"/>
  <c r="C7" i="13"/>
  <c r="D7" i="13"/>
  <c r="E7" i="13"/>
  <c r="F7" i="13"/>
  <c r="G7" i="13"/>
  <c r="H7" i="13"/>
  <c r="I7" i="13"/>
  <c r="K7" i="13"/>
  <c r="L7" i="13"/>
  <c r="M7" i="13"/>
  <c r="B7" i="8"/>
  <c r="C7" i="8"/>
  <c r="D7" i="8"/>
  <c r="E7" i="8"/>
  <c r="F7" i="8"/>
  <c r="G7" i="8"/>
  <c r="H7" i="8"/>
  <c r="I7" i="8"/>
  <c r="K7" i="8"/>
  <c r="L7" i="8"/>
  <c r="M7" i="8"/>
  <c r="B7" i="7"/>
  <c r="C7" i="7"/>
  <c r="D7" i="7"/>
  <c r="E7" i="7"/>
  <c r="F7" i="7"/>
  <c r="G7" i="7"/>
  <c r="H7" i="7"/>
  <c r="I7" i="7"/>
  <c r="J7" i="7"/>
  <c r="K7" i="7"/>
  <c r="L7" i="7"/>
  <c r="B8" i="7"/>
  <c r="C8" i="7"/>
  <c r="D8" i="7"/>
  <c r="E8" i="7"/>
  <c r="F8" i="7"/>
  <c r="G8" i="7"/>
  <c r="H8" i="7"/>
  <c r="J8" i="7"/>
  <c r="K8" i="7"/>
  <c r="L8" i="7"/>
  <c r="B9" i="7"/>
  <c r="C9" i="7"/>
  <c r="D9" i="7"/>
  <c r="E9" i="7"/>
  <c r="F9" i="7"/>
  <c r="G9" i="7"/>
  <c r="H9" i="7"/>
  <c r="I9" i="7"/>
  <c r="J9" i="7"/>
  <c r="K9" i="7"/>
  <c r="L9" i="7"/>
  <c r="B10" i="7"/>
  <c r="C10" i="7"/>
  <c r="D10" i="7"/>
  <c r="E10" i="7"/>
  <c r="F10" i="7"/>
  <c r="G10" i="7"/>
  <c r="H10" i="7"/>
  <c r="I10" i="7"/>
  <c r="J10" i="7"/>
  <c r="K10" i="7"/>
  <c r="L10" i="7"/>
  <c r="B11" i="7"/>
  <c r="C11" i="7"/>
  <c r="D11" i="7"/>
  <c r="E11" i="7"/>
  <c r="F11" i="7"/>
  <c r="G11" i="7"/>
  <c r="H11" i="7"/>
  <c r="I11" i="7"/>
  <c r="J11" i="7"/>
  <c r="K11" i="7"/>
  <c r="L11" i="7"/>
  <c r="B12" i="7"/>
  <c r="C12" i="7"/>
  <c r="D12" i="7"/>
  <c r="F12" i="7"/>
  <c r="G12" i="7"/>
  <c r="H12" i="7"/>
  <c r="I12" i="7"/>
  <c r="J12" i="7"/>
  <c r="K12" i="7"/>
  <c r="L12" i="7"/>
  <c r="B8" i="15"/>
  <c r="C8" i="15"/>
  <c r="D8" i="15"/>
  <c r="E8" i="15"/>
  <c r="F8" i="15"/>
  <c r="G8" i="15"/>
  <c r="H8" i="15"/>
  <c r="I8" i="15"/>
  <c r="K8" i="15"/>
  <c r="L8" i="15"/>
  <c r="M8" i="15"/>
  <c r="B8" i="6"/>
  <c r="C8" i="6"/>
  <c r="D8" i="6"/>
  <c r="E8" i="6"/>
  <c r="F8" i="6"/>
  <c r="G8" i="6"/>
  <c r="H8" i="6"/>
  <c r="I8" i="6"/>
  <c r="J8" i="6"/>
  <c r="K8" i="6"/>
  <c r="L8" i="6"/>
  <c r="B8" i="5"/>
  <c r="C8" i="5"/>
  <c r="D8" i="5"/>
  <c r="E8" i="5"/>
  <c r="F8" i="5"/>
  <c r="G8" i="5"/>
  <c r="H8" i="5"/>
  <c r="I8" i="5"/>
  <c r="J8" i="5"/>
  <c r="K8" i="5"/>
  <c r="L8" i="5"/>
  <c r="K9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laysa.angelo</author>
  </authors>
  <commentList>
    <comment ref="I6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laysa.angelo:</t>
        </r>
        <r>
          <rPr>
            <sz val="8"/>
            <color indexed="81"/>
            <rFont val="Tahoma"/>
            <family val="2"/>
          </rPr>
          <t xml:space="preserve">
Valor do Diu Mirena = 760,33 - 12/2016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laysa.angelo</author>
  </authors>
  <commentList>
    <comment ref="I20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laysa.angelo:</t>
        </r>
        <r>
          <rPr>
            <sz val="8"/>
            <color indexed="81"/>
            <rFont val="Tahoma"/>
            <family val="2"/>
          </rPr>
          <t xml:space="preserve">
Valor do Diu Mirena = 760,33 - 12/2016</t>
        </r>
      </text>
    </comment>
  </commentList>
</comments>
</file>

<file path=xl/sharedStrings.xml><?xml version="1.0" encoding="utf-8"?>
<sst xmlns="http://schemas.openxmlformats.org/spreadsheetml/2006/main" count="1197" uniqueCount="372">
  <si>
    <t>UROLOGIA</t>
  </si>
  <si>
    <t>Ablação Prostática a Laser</t>
  </si>
  <si>
    <t>OTORRINO</t>
  </si>
  <si>
    <t>CIRURGIA GERAL</t>
  </si>
  <si>
    <t>Apendicectomia (Convencional - Sem Complicação)</t>
  </si>
  <si>
    <t>Apendicectomia por videolaparoscopia</t>
  </si>
  <si>
    <t>Cisto Sacro-Cocígeo – Tratamento Cirúrgico</t>
  </si>
  <si>
    <t>Colonoscopia Ambulatorial</t>
  </si>
  <si>
    <t>Colonoscopia COM Polipectomia</t>
  </si>
  <si>
    <t>Endoscopia Ambulatorial</t>
  </si>
  <si>
    <t>Endoscopia Ambulatorial COM Polipectomia</t>
  </si>
  <si>
    <t>GASTRO</t>
  </si>
  <si>
    <t>Gastroplastia para obesidade mórbida – CONVENCIONAL</t>
  </si>
  <si>
    <t>Gastroplastia para obesidade mórbida – VIDEOLAPAROSCOPIA</t>
  </si>
  <si>
    <t>Hemorroidectomia aberta ou fechada, com ou sem esfincterotomia</t>
  </si>
  <si>
    <t>Herniorrafia Inguinal - unilateral</t>
  </si>
  <si>
    <t>Herniorrafia Umbilical</t>
  </si>
  <si>
    <t>Orquidopexia Unilateral</t>
  </si>
  <si>
    <t>Parto Cesárea</t>
  </si>
  <si>
    <t>Parto Cesárea Gemelar (30% do valor do pacote para cada gemelar)</t>
  </si>
  <si>
    <t>Parto Normal</t>
  </si>
  <si>
    <t>Parto Normal Gemelar (30% do valor do pacote para cada gemelar)</t>
  </si>
  <si>
    <t>Postectomia</t>
  </si>
  <si>
    <t>Septoplastia</t>
  </si>
  <si>
    <t>Procedimento</t>
  </si>
  <si>
    <t>Tipo de Anestesia</t>
  </si>
  <si>
    <t>Diárias</t>
  </si>
  <si>
    <t>Tempo Cirúrgico</t>
  </si>
  <si>
    <t>Itens exclusos</t>
  </si>
  <si>
    <t>Especialidade</t>
  </si>
  <si>
    <t>1 fibra óptica Green light</t>
  </si>
  <si>
    <t>Pinça para biópsia Desc.Oval 240cm</t>
  </si>
  <si>
    <t>Cateterismo Cardiaco</t>
  </si>
  <si>
    <t>Angiografia</t>
  </si>
  <si>
    <t>1 endopouch; 1 trocater 1 tesoura permanente</t>
  </si>
  <si>
    <t>Itens inclusos - OPME</t>
  </si>
  <si>
    <t>Estudo Ultrasonográfico Intra-Vascular</t>
  </si>
  <si>
    <t>RADIOLOGIA</t>
  </si>
  <si>
    <t>BUCOMAXILO</t>
  </si>
  <si>
    <t>Reconstrução Total de Maxila com Enxerto Osseo Autogeno</t>
  </si>
  <si>
    <t>ANESTESIA</t>
  </si>
  <si>
    <t>Vasectomia</t>
  </si>
  <si>
    <t>Radioablação (realizado no CRCAMP, somente pós no HVC)</t>
  </si>
  <si>
    <t>01 trocater</t>
  </si>
  <si>
    <t>Implante cirurgico de catéter de longa permancência</t>
  </si>
  <si>
    <t>Retirada cirúrgica de cateter de longa permanência</t>
  </si>
  <si>
    <t>Simpatectomia por vdeotoracoscopia</t>
  </si>
  <si>
    <t>Varizes - Tratamento Cirurgico</t>
  </si>
  <si>
    <t>VASCULAR</t>
  </si>
  <si>
    <t>Geral</t>
  </si>
  <si>
    <t>Angioplastia coronariana</t>
  </si>
  <si>
    <t>Parotidectomia com esvaziamento</t>
  </si>
  <si>
    <t>Ressecção de tumor de glândula sub-mandibular</t>
  </si>
  <si>
    <t>Tireoidectomia Total</t>
  </si>
  <si>
    <t>CABEÇA E PESCOÇO</t>
  </si>
  <si>
    <t>Fissurectomia com ou sem esfincterotomia</t>
  </si>
  <si>
    <t>Fistulectomia anal</t>
  </si>
  <si>
    <t>Local</t>
  </si>
  <si>
    <t>Septoplastia + Tubinectomia</t>
  </si>
  <si>
    <t>Septoplastia + Sinusectomia</t>
  </si>
  <si>
    <t>Septoplastia + Tubinectomia + Sinusectomia</t>
  </si>
  <si>
    <t>51030179 / 51030209</t>
  </si>
  <si>
    <t>51030179 / 30502322</t>
  </si>
  <si>
    <t>Cistoscopia e/ou uretroscopia</t>
  </si>
  <si>
    <t>Hidrocele: correção cirúrgica</t>
  </si>
  <si>
    <t>RTU de Bexiga</t>
  </si>
  <si>
    <t>RTU de Próstata</t>
  </si>
  <si>
    <t>Reversão de vasectomia (Vasostomia)</t>
  </si>
  <si>
    <t>Cerclagem do Colo Uterino</t>
  </si>
  <si>
    <t>Exerese de nódulo de mama</t>
  </si>
  <si>
    <t>Histeroscopia diagnóstica</t>
  </si>
  <si>
    <t>Histeroscopia cirurgica com ressectoscopio monopolar</t>
  </si>
  <si>
    <t>Histerectomia total / abdominal</t>
  </si>
  <si>
    <t>Histerectomia Total Laparoscopia</t>
  </si>
  <si>
    <t>Inserção de DIU</t>
  </si>
  <si>
    <t>Ooforectomia ou Ooforoplastia (ovário)</t>
  </si>
  <si>
    <t>GINECOLOGIA</t>
  </si>
  <si>
    <t>Sedação</t>
  </si>
  <si>
    <t xml:space="preserve">Curetagem </t>
  </si>
  <si>
    <t xml:space="preserve">Artroplastia do Joelho </t>
  </si>
  <si>
    <t>ORTOPEDIA</t>
  </si>
  <si>
    <t>Day</t>
  </si>
  <si>
    <t>Exclui Marca-passo</t>
  </si>
  <si>
    <t>Implante de marca-passo bicameral</t>
  </si>
  <si>
    <t>Troca de Gerador</t>
  </si>
  <si>
    <t>Exclui Gerador</t>
  </si>
  <si>
    <t>Exclui enxerto</t>
  </si>
  <si>
    <t>até 2 Fleboextrator descartável</t>
  </si>
  <si>
    <t>Código AMB</t>
  </si>
  <si>
    <t>Código Tuss</t>
  </si>
  <si>
    <t>Implante de prótese peniana Semi Rígida</t>
  </si>
  <si>
    <t>Implante de Duplo J</t>
  </si>
  <si>
    <t>Exclui Duplo J</t>
  </si>
  <si>
    <t xml:space="preserve">04 cartuchos hemolock </t>
  </si>
  <si>
    <t>Biópsia Unilateral de Testículo</t>
  </si>
  <si>
    <t>Ureterorrenolitotripsia Flexível Unilateral</t>
  </si>
  <si>
    <t>Varicocele Unilateral - Correção Cirúrgica</t>
  </si>
  <si>
    <t>Nefrectomia Total Unilateral</t>
  </si>
  <si>
    <t>Nefrolitotripsia Percutânea Unilateral</t>
  </si>
  <si>
    <t>Retirada Endoscopica de Cateter Duplo J</t>
  </si>
  <si>
    <t>02 trocater (suprimed ou Johnson)</t>
  </si>
  <si>
    <t>Ureterorrenolitotripsia Rígida Unilateral</t>
  </si>
  <si>
    <t>01 bainha Flexivel, 01 bomba de irrigação, 01 dornia, 01 duplo J, 01 Fibra reprocessada e 02 fios guia (Boston ou Cook)</t>
  </si>
  <si>
    <t>01 dornia, 01 duplo J, 01 Fibra reprocessada e 02 fios guia (Boston ou Cook)</t>
  </si>
  <si>
    <t>1 fio guia, 01  Duplo J</t>
  </si>
  <si>
    <t>Qualquer Tipo</t>
  </si>
  <si>
    <t>Exclui Prótese</t>
  </si>
  <si>
    <t>Exclui Fibra Descartável</t>
  </si>
  <si>
    <t>Refluxo gastroesofágico - tratamento cirúrgico (Hérnia de hiato) por
videolaparoscopia</t>
  </si>
  <si>
    <t>Herniorrafia inguinal - unilateral por videolaparoscopia</t>
  </si>
  <si>
    <t>01 kit Amplatz, 01 Agulha de punção, 01 fio Guia, 01 sonda Ureteral, 01 duplo J  (Boston ou Cook)</t>
  </si>
  <si>
    <t>02 trocateres, 01 cartucho com 6 clips, 1 agulha de verres , 01 tesoura de coagulação</t>
  </si>
  <si>
    <t>Alça Resecção Reprocessada</t>
  </si>
  <si>
    <t>Com DIU Merina</t>
  </si>
  <si>
    <t>01 trocater, 01 agulha de Verres</t>
  </si>
  <si>
    <t>Laparoscopia Cirurgica para Miomectomia, Salpingectomia e Ooforectomia</t>
  </si>
  <si>
    <t>01 trocater, 01 agulha de Verres, 01 tesoura Coagulação</t>
  </si>
  <si>
    <t>Laparoscopia Ginecologica Diagnóstica (sem tesoura descartável )</t>
  </si>
  <si>
    <t xml:space="preserve">3 Fios Mononylon </t>
  </si>
  <si>
    <t>2 trocater, 01 ultracison, 01 agulha veres, 04 cartuchos Hemolok</t>
  </si>
  <si>
    <t>Uretrotomia Interna</t>
  </si>
  <si>
    <t>Nefrectomia total unilateral por videolaparoscopia</t>
  </si>
  <si>
    <t>Geral ou Sedação</t>
  </si>
  <si>
    <t>Sinusectomia maxilar - via endonasal por videoendoscopia</t>
  </si>
  <si>
    <t>Turbinectomia ou turbinoplastia</t>
  </si>
  <si>
    <t>51030179 / 51030209 / 30502322</t>
  </si>
  <si>
    <t>Amigdalectomia das palatinas</t>
  </si>
  <si>
    <t>Frenotomia lingual</t>
  </si>
  <si>
    <t>Microcirurgia para ressecção de papiloma (Microcirurgia de Laringe)</t>
  </si>
  <si>
    <t>Exclui  hemostático, OPME</t>
  </si>
  <si>
    <t>Exlui OPME</t>
  </si>
  <si>
    <t>Exclui OPME</t>
  </si>
  <si>
    <t>Exclui Anatomo</t>
  </si>
  <si>
    <t>Exclui tela e Sling</t>
  </si>
  <si>
    <t>Exclui OPME e Anatomo</t>
  </si>
  <si>
    <t>Exclui OPME, Anatomo e  biópsia por congelação</t>
  </si>
  <si>
    <t>Meniscectomia - um menisco</t>
  </si>
  <si>
    <t>Reconstrução, retencionamento ou reforço do ligamento cruzado anterior ou posterior</t>
  </si>
  <si>
    <t>Instabilidade multidirecional (ombro)</t>
  </si>
  <si>
    <t>Ruptura do manguito rotador (ombro)</t>
  </si>
  <si>
    <t>Luxação gleno-umeral (Ombro)</t>
  </si>
  <si>
    <t>Artroplastia (qualquer técnica ou versão de quadril) - tratamento cirúrgico</t>
  </si>
  <si>
    <t>Local / Sedação</t>
  </si>
  <si>
    <t>01 Grampeador PPH ou 01 dispositivo THD</t>
  </si>
  <si>
    <t xml:space="preserve">Exclui OPME, Anatomo e  biópsia </t>
  </si>
  <si>
    <t>01 trocater, 01 tela Prolene 15x15, , 01 grampeador Hernia, tesoura permanente</t>
  </si>
  <si>
    <t>Peridural</t>
  </si>
  <si>
    <t>01 equipo de bomba, 01 lamina de Shaver</t>
  </si>
  <si>
    <t>Exclui OPME, UTI, hemoderivado</t>
  </si>
  <si>
    <t>Raqui / Sedação</t>
  </si>
  <si>
    <t>Sedação /  Raqui</t>
  </si>
  <si>
    <t>Exclui OPME,  Monitorização, hemostático e biópsia por congelação</t>
  </si>
  <si>
    <t>Exclui demais OPMEs e anatomo</t>
  </si>
  <si>
    <t>1 trocater + 1 tesoura permanente</t>
  </si>
  <si>
    <t xml:space="preserve">01 tela de prolene 15 x 15 </t>
  </si>
  <si>
    <t>Exclui Nutrição parenteral, anatomo e OPME</t>
  </si>
  <si>
    <t>Peridural/ Raqui</t>
  </si>
  <si>
    <t>qualquer Tipo</t>
  </si>
  <si>
    <t>02 trocater, 1 agulha de verres , 01 tesoura de coagulação, 01 manipulador uterino</t>
  </si>
  <si>
    <t>Exclui demais OPMEs, Anatomo,  biópsia por congelação e Morcelador</t>
  </si>
  <si>
    <t>Exclui anatomo</t>
  </si>
  <si>
    <t>Exclui Anatomo, Morcelador e endopouch</t>
  </si>
  <si>
    <t>Exclui demais OPMEs</t>
  </si>
  <si>
    <t>Timpanotomia para tubo de ventilação unilateral</t>
  </si>
  <si>
    <t>01 Port-a-Cath BBraun ou Life Port</t>
  </si>
  <si>
    <t>01 Fio Zipwire; 02 Cateter diagnóstico + 01 introdutor</t>
  </si>
  <si>
    <t>antibiótico terapia profilática, 01 plantão médico UTI</t>
  </si>
  <si>
    <t>CARDIOVASCULAR</t>
  </si>
  <si>
    <t>Exclui Stent</t>
  </si>
  <si>
    <t>Avaliação fisiológica da gravidade de obstruções (cateter ou guia)</t>
  </si>
  <si>
    <t xml:space="preserve">Osteotomia Tipo Lefort I - Avanço Maxilar </t>
  </si>
  <si>
    <t>Septoplastia + Amigdalectomia</t>
  </si>
  <si>
    <t>51030179 / 51050021</t>
  </si>
  <si>
    <t>Amigdalectomia + Adenoidectomia</t>
  </si>
  <si>
    <t>1 apto + 1 UTI</t>
  </si>
  <si>
    <t>Rizotomia percutânea por segmento - qualquer método</t>
  </si>
  <si>
    <t>-</t>
  </si>
  <si>
    <t>Tempo Sala</t>
  </si>
  <si>
    <t>Boston</t>
  </si>
  <si>
    <t>Estoque</t>
  </si>
  <si>
    <t>Johnson OU Medtronik</t>
  </si>
  <si>
    <t>PPH: Johnson OU Medtronik  /  THD: Siltace</t>
  </si>
  <si>
    <t>Tela Estoque</t>
  </si>
  <si>
    <t>01 Endogrampeador de 45; 07 Cargas;  01 trocater;  01 Tesoura de Coagulação</t>
  </si>
  <si>
    <t>Kits Johnson OU Kit Medtronik</t>
  </si>
  <si>
    <t>01 grampeador linear TCL;  01 carga para grampeador</t>
  </si>
  <si>
    <t>Boston OU Cook  Allent OU Handle</t>
  </si>
  <si>
    <t xml:space="preserve"> Boston OU Abbot  OU Terumo</t>
  </si>
  <si>
    <t>Boston OU Abbot</t>
  </si>
  <si>
    <t>Johnson OU Medtronik  / Tela Estoque</t>
  </si>
  <si>
    <t>Johnson OU Medtronik e Cartucho Estoque</t>
  </si>
  <si>
    <t>Fio Guia e introdutor:  Boston OU Abbot ou Terumo  / Pressure:  Vitoria Hospitalar</t>
  </si>
  <si>
    <t>Cateter Atllantis:  Boston / Fio Guia, Cateter, introdutor Boston OU Abbot OU Terumo</t>
  </si>
  <si>
    <t>BBraun OU Life Port</t>
  </si>
  <si>
    <t>3 Apto + 1 UTI</t>
  </si>
  <si>
    <t>4 Apto + 1 UTI</t>
  </si>
  <si>
    <t>Exclu laser e afins, OPME, hemostático e anatomo</t>
  </si>
  <si>
    <t>Fornecedor Homologado - itens inclusos</t>
  </si>
  <si>
    <t>01 Dreno Blake*</t>
  </si>
  <si>
    <t>Tubo de Ventilação Armstrong*</t>
  </si>
  <si>
    <t>* Dreno Blake item de Estoque</t>
  </si>
  <si>
    <t>*Tubo de Ventilação Armstrong item de Estoque</t>
  </si>
  <si>
    <t>Life Port OU Bbraun</t>
  </si>
  <si>
    <t>Johnson OU Medtronik, exceto Manipulador Multimed</t>
  </si>
  <si>
    <t>Johnson OU Prime OU Smith Nephew OU Imact</t>
  </si>
  <si>
    <t>Laqueadura tubária</t>
  </si>
  <si>
    <t>Laqueadura tubária laparoscópica</t>
  </si>
  <si>
    <t>Código</t>
  </si>
  <si>
    <t>Parotidectomia total com conservação do nervo facial</t>
  </si>
  <si>
    <t>30212057 / 30213053</t>
  </si>
  <si>
    <t>Esvaziamento Cervical / Tireoidectomia  Total</t>
  </si>
  <si>
    <t>Colecistectomia  sem  Colangiografia por videolaparoscopia</t>
  </si>
  <si>
    <t>Colecistectomia com Colangiografia por videolaparoscopia</t>
  </si>
  <si>
    <r>
      <t xml:space="preserve">Colectomia parcial </t>
    </r>
    <r>
      <rPr>
        <sz val="10"/>
        <rFont val="Calibri"/>
        <family val="2"/>
      </rPr>
      <t>sem colostomia</t>
    </r>
  </si>
  <si>
    <r>
      <t xml:space="preserve">Colectomia parcial </t>
    </r>
    <r>
      <rPr>
        <sz val="10"/>
        <rFont val="Calibri"/>
        <family val="2"/>
      </rPr>
      <t>com colostomia</t>
    </r>
  </si>
  <si>
    <r>
      <t>Colectomia parcial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sem colostomia por videolaparoscopia</t>
    </r>
  </si>
  <si>
    <r>
      <t>Colectomia parcial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com colostomia por videolaparoscopia</t>
    </r>
  </si>
  <si>
    <t>Hemorroidectomia aberta ou fechada, com ou sem esfincterotomia (com grampeador ou dispositivo de desarterialização)</t>
  </si>
  <si>
    <t>Incontinência urinária - "sling" vaginal ou abdominal</t>
  </si>
  <si>
    <t>31303250 ou 31304087 ou 31305032</t>
  </si>
  <si>
    <t>30501369 +  30501458</t>
  </si>
  <si>
    <t>30733057 /+30733073</t>
  </si>
  <si>
    <t>Meniscectomia  +  Reconstrução, retencionamento ou reforço do ligamento cruzado anterior ou posterior</t>
  </si>
  <si>
    <t>30501369 + 30502322</t>
  </si>
  <si>
    <t>30501369 +  30205050</t>
  </si>
  <si>
    <t>30501369 + 30501458 + 30502322</t>
  </si>
  <si>
    <t>Fístula Arteriovenosa direta</t>
  </si>
  <si>
    <t>Herniorrafia Inguinal No Rn Ou Lactente</t>
  </si>
  <si>
    <t xml:space="preserve">4 Apto </t>
  </si>
  <si>
    <t xml:space="preserve">3 Apto </t>
  </si>
  <si>
    <t>antibiótico terapia profilática</t>
  </si>
  <si>
    <t>31206050 / 31206034</t>
  </si>
  <si>
    <t>Broncoscopia</t>
  </si>
  <si>
    <t>Pneumo</t>
  </si>
  <si>
    <t>Sistema de Equipamentos e Instrumentos para Cirurgia de Holep</t>
  </si>
  <si>
    <t>Russer ou Multimed</t>
  </si>
  <si>
    <t>Ressecção Prostata - Rolep - Rolep</t>
  </si>
  <si>
    <t xml:space="preserve">Eletrocoagulação de lesões cutâneas  /  Biópsia peniana       </t>
  </si>
  <si>
    <t>30206227 OU 30206219</t>
  </si>
  <si>
    <t>Microcirurgia com uso de laser para ressecção de lesões  ( Laser não incluso )</t>
  </si>
  <si>
    <t>51060078 OU 51060086</t>
  </si>
  <si>
    <t>56120087 /  56120036</t>
  </si>
  <si>
    <t xml:space="preserve">Bloqueio Terapeutico </t>
  </si>
  <si>
    <t>Vera Cruz Hospital</t>
  </si>
  <si>
    <t>Vera Cruz Casa Saude</t>
  </si>
  <si>
    <t>a definir</t>
  </si>
  <si>
    <t>não disponivel</t>
  </si>
  <si>
    <t>AMBULATORIAL
(setor sem diária)</t>
  </si>
  <si>
    <t>reajuste especifico</t>
  </si>
  <si>
    <t>PARA HISTORICO : REAJUSTE DE 2022 PARA 2023</t>
  </si>
  <si>
    <t>Anatomo Patologico Multipat</t>
  </si>
  <si>
    <t>1 Introdutor, 2 Fios guia, 1 Incor, 1 Cateter balão, 1 dipositivo de pressão e Honorário médico do médico executor (equipe interna)</t>
  </si>
  <si>
    <r>
      <t xml:space="preserve">01 Fio Guia, 01 Pressure wire, 01 introdutor e </t>
    </r>
    <r>
      <rPr>
        <sz val="10"/>
        <rFont val="Calibri"/>
        <family val="2"/>
      </rPr>
      <t>Honorário médico do médico executor</t>
    </r>
    <r>
      <rPr>
        <sz val="10"/>
        <rFont val="Calibri"/>
        <family val="2"/>
        <scheme val="minor"/>
      </rPr>
      <t xml:space="preserve"> (equipe interna)</t>
    </r>
  </si>
  <si>
    <r>
      <t xml:space="preserve">01 fio guia 0,035 x 150;  02 Cateter impluse, 01 introdutor e </t>
    </r>
    <r>
      <rPr>
        <sz val="10"/>
        <rFont val="Calibri"/>
        <family val="2"/>
      </rPr>
      <t>Honorário médico do médico executor</t>
    </r>
    <r>
      <rPr>
        <sz val="10"/>
        <rFont val="Calibri"/>
        <family val="2"/>
        <scheme val="minor"/>
      </rPr>
      <t xml:space="preserve"> (equipe interna)</t>
    </r>
  </si>
  <si>
    <r>
      <t xml:space="preserve">1 Cateter Atlantis 45mhz rotacional - Boston; 1 dreno de rotação; 1 fio guia; 01 cateter diagnostico; 01 introdutor e </t>
    </r>
    <r>
      <rPr>
        <sz val="10"/>
        <rFont val="Calibri"/>
        <family val="2"/>
      </rPr>
      <t>Honorário médico do médico executor</t>
    </r>
    <r>
      <rPr>
        <sz val="10"/>
        <rFont val="Calibri"/>
        <family val="2"/>
        <scheme val="minor"/>
      </rPr>
      <t xml:space="preserve"> (equipe interna)</t>
    </r>
  </si>
  <si>
    <t>R$ 700,00 (não tumoral)
R$ 1.450,00 (tumoral)</t>
  </si>
  <si>
    <t>R$ 700,00 (por mioma)
R$ 1450,00 (Tumoral)</t>
  </si>
  <si>
    <t>700,00 (placenta)</t>
  </si>
  <si>
    <r>
      <t xml:space="preserve">PROCEDIMENTOS GERENCIADOS - CIRURGIA PLÁSTICA -  2023 - </t>
    </r>
    <r>
      <rPr>
        <b/>
        <u/>
        <sz val="18"/>
        <rFont val="Century Gothic"/>
        <family val="2"/>
      </rPr>
      <t>Vera Cruz Hospital</t>
    </r>
  </si>
  <si>
    <t>Sempre utilizar o Simulador de Orçamento (ao lado) e entregar orçamento ao paciente, explicando ao cliente as normas da  cirurgia plastica e possíveis variáveis que possam gerar adicinais de valores, a ser cobrado adicionalmente na ocasião da alta hospitalar (ex.: pernoite, tempo adicional, intercorrências, etc).</t>
  </si>
  <si>
    <t>Segunda a Sexta - Valor Padrao</t>
  </si>
  <si>
    <t>Sabado, Domingo e Datas especiais (cf.calendario)</t>
  </si>
  <si>
    <t>Desconto 10% (*)</t>
  </si>
  <si>
    <t>Codigo</t>
  </si>
  <si>
    <t>Descrição Procedimento</t>
  </si>
  <si>
    <t>Anestesia</t>
  </si>
  <si>
    <t>Carater</t>
  </si>
  <si>
    <t>Acomodação</t>
  </si>
  <si>
    <r>
      <t xml:space="preserve">Tempo Sala (horas), para procedimento individual.
</t>
    </r>
    <r>
      <rPr>
        <sz val="11"/>
        <rFont val="Century Gothic"/>
        <family val="2"/>
      </rPr>
      <t>(Para 2.ª e demais procedimentos, considerar 50% tempos)</t>
    </r>
  </si>
  <si>
    <t xml:space="preserve">Volor Hospitalar (R$)
</t>
  </si>
  <si>
    <t>Valor Anestesista (R$)</t>
  </si>
  <si>
    <t>Coluna1</t>
  </si>
  <si>
    <t>Valor Hospitalar com desconto, valido somente nas datas ao lado
(R$)</t>
  </si>
  <si>
    <t>Anestesia com desconto, valido somente nas datas ao lado
(R$)</t>
  </si>
  <si>
    <t>Bichectomia Ambulatorial  (com sedação).</t>
  </si>
  <si>
    <t>sedação</t>
  </si>
  <si>
    <t>Ambulatorial</t>
  </si>
  <si>
    <t>setor sem acomodação</t>
  </si>
  <si>
    <t>ambulatorial</t>
  </si>
  <si>
    <t xml:space="preserve">Janeiro </t>
  </si>
  <si>
    <t>01 a 15</t>
  </si>
  <si>
    <t>Blefaroplastia Inferior OU Superior Ambulatorial (com anestesia sedação)</t>
  </si>
  <si>
    <t>Fevereiro</t>
  </si>
  <si>
    <t>20 a 24</t>
  </si>
  <si>
    <t>Blefaroplastia Total Ambulatorial (com anestesia sedação)</t>
  </si>
  <si>
    <t>Abril</t>
  </si>
  <si>
    <t>7 e 21</t>
  </si>
  <si>
    <t xml:space="preserve">Exérese cisto ou nevus Ambulatorial (com anestesia local)            </t>
  </si>
  <si>
    <t>local</t>
  </si>
  <si>
    <t>Maio</t>
  </si>
  <si>
    <t>Otoplastia Ambulatorial (com sedação)</t>
  </si>
  <si>
    <t>Setembro</t>
  </si>
  <si>
    <t>07 e 08</t>
  </si>
  <si>
    <t xml:space="preserve"> Exérese cisto ou nevus (com anestesia sedação)</t>
  </si>
  <si>
    <t>Internado</t>
  </si>
  <si>
    <t>Day Hospital</t>
  </si>
  <si>
    <t>Outubro</t>
  </si>
  <si>
    <t>12 e 13</t>
  </si>
  <si>
    <t>Bichectomia</t>
  </si>
  <si>
    <t>qualquer tipo</t>
  </si>
  <si>
    <t>Novembro</t>
  </si>
  <si>
    <t>2, 3, 15 , 16 e 17</t>
  </si>
  <si>
    <t>Blefaroplastia Inferior OU Superior Internado</t>
  </si>
  <si>
    <t>Dezembro</t>
  </si>
  <si>
    <t>18 a 31</t>
  </si>
  <si>
    <t>Blefaroplastia Total Internado</t>
  </si>
  <si>
    <t>Correção de Cicatriz Pequena (por região)</t>
  </si>
  <si>
    <t>Todos meses</t>
  </si>
  <si>
    <t>Sabado e Domingo</t>
  </si>
  <si>
    <t>Dermolipectomia Abdominal (Abdominiplastia)</t>
  </si>
  <si>
    <t>Apartamento</t>
  </si>
  <si>
    <t>1 diaria</t>
  </si>
  <si>
    <t>Dermolipectomia Braços</t>
  </si>
  <si>
    <t>Dermolipectomia Circunferencial</t>
  </si>
  <si>
    <t>Dermolipectomia Coxas</t>
  </si>
  <si>
    <t>Ginecomastia</t>
  </si>
  <si>
    <t>Implante de Prótese Mamária OU Retirada Protese</t>
  </si>
  <si>
    <t>LipoAbdominiplastia (com lipo pequena somente abdomem)</t>
  </si>
  <si>
    <t>Lipoaspiração - Grande (com ou sem enxertia)</t>
  </si>
  <si>
    <t>Lipoaspiração - Média  (com ou sem enxertia)</t>
  </si>
  <si>
    <t>Lipoaspiração - Mini (com ou sem enxertia)</t>
  </si>
  <si>
    <t>Lipoaspiração - Pequena (com ou sem enxertia)</t>
  </si>
  <si>
    <t xml:space="preserve">Lipoaspiração de Mento </t>
  </si>
  <si>
    <t>Mamoplastia Redutora com ou sem Prótese</t>
  </si>
  <si>
    <t>Mastopexia com ou sem protese</t>
  </si>
  <si>
    <t>Mini Dermolipectomia</t>
  </si>
  <si>
    <t>Mini Ritidoplastia ( Miniliftinng )</t>
  </si>
  <si>
    <t>Ninfoplastia (Hipertrofia pequenos labios)</t>
  </si>
  <si>
    <t xml:space="preserve">Otoplastia </t>
  </si>
  <si>
    <t>Prótese de Mento</t>
  </si>
  <si>
    <t>Rinoplastia</t>
  </si>
  <si>
    <t>Ritidoplastia sem blefaroplastia ( Lifting )</t>
  </si>
  <si>
    <t>Torsoplastia ( somente regiao costas)</t>
  </si>
  <si>
    <t>1 diária</t>
  </si>
  <si>
    <t>O Orçamento estará sempre no valor padrao - (bruto - sem desconto)
(*)Se procedimento for agendado aos fins de semana ou nas datas especiais conforme calendário, o desconto de 10% será concedido pela Tesouraria do Hospital somente no momento das instruções financeiras ao paciente.</t>
  </si>
  <si>
    <t>PROCEDIMENTOS GERENCIADOS - CIRURGIA PLÁSTICA - JUNHO/2023 - Casa de Saude</t>
  </si>
  <si>
    <t>Tempo Sala (horas)</t>
  </si>
  <si>
    <t>VALOR HOSPITALAR 2022</t>
  </si>
  <si>
    <t xml:space="preserve">VALOR HOSPITALAR 2023 </t>
  </si>
  <si>
    <t>para ver qual reajuste 22x23
base = HCOR CPS</t>
  </si>
  <si>
    <t>VALOR HOSPITALAR 
(se LEITO)</t>
  </si>
  <si>
    <t>Valor Anestesista (R$) 2023</t>
  </si>
  <si>
    <t>Blefaroplastia Superior e Inferior</t>
  </si>
  <si>
    <t>Ambulatorial (Sem Internação)</t>
  </si>
  <si>
    <t>Blefaroplastia Superior ou Inferior</t>
  </si>
  <si>
    <t>Cantoplastia Lateral</t>
  </si>
  <si>
    <t>Exerese Cisto/Nevus/Hemangioma</t>
  </si>
  <si>
    <t>Correção de Cicatriz</t>
  </si>
  <si>
    <t>Reparador menor</t>
  </si>
  <si>
    <t>Dermolipectomia de Abdomen (ABDOMINOPLASTIA)</t>
  </si>
  <si>
    <t>Enfermaria (Internado)</t>
  </si>
  <si>
    <t>Dermolipectomia Braços (BRAQUIOPLASTIA)</t>
  </si>
  <si>
    <t>Dermolipectomia Coxas (CRUROPLASTIA)</t>
  </si>
  <si>
    <t>Dermolipectomia de Dorso (TORSOPLASTIA)</t>
  </si>
  <si>
    <t xml:space="preserve">Ginecomastia </t>
  </si>
  <si>
    <t>Implante de Cabelo</t>
  </si>
  <si>
    <t>Lipoaspiração P - até 02 horas</t>
  </si>
  <si>
    <t>Lipoaspiração M - até 03 horas</t>
  </si>
  <si>
    <t>Lipoaspiração - G - até 04 horas</t>
  </si>
  <si>
    <t>Lipoaspiração GG - até 06 horas</t>
  </si>
  <si>
    <t>Lipoaspiração de Mento</t>
  </si>
  <si>
    <t xml:space="preserve">Mamoplastia Redutora </t>
  </si>
  <si>
    <t>Mastopexia COM ou SEM Prótese</t>
  </si>
  <si>
    <t>Mini Lifting SEM Blefaroplastia</t>
  </si>
  <si>
    <t xml:space="preserve">Mini Lifting COM Blefaroplastia </t>
  </si>
  <si>
    <t>Ninfoplastia (Hipertrofia pequenos lábios)</t>
  </si>
  <si>
    <t>Otoplastia</t>
  </si>
  <si>
    <t>Plástica Mamária - Prótese</t>
  </si>
  <si>
    <t>Prótese de Glúteo</t>
  </si>
  <si>
    <t>Prótese de Panturrilha</t>
  </si>
  <si>
    <t xml:space="preserve">Rinoplastia </t>
  </si>
  <si>
    <t>Ritidoplastia sem blefaroplastia (lifting face)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</si>
</sst>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h:mm;@"/>
    <numFmt numFmtId="165" formatCode="00000000"/>
    <numFmt numFmtId="168" formatCode="[$-F400]h:mm:ss\ AM/PM"/>
  </numFmts>
  <fonts count="38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theme="0"/>
      <name val="Lucida Sans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Century Gothic"/>
      <family val="2"/>
    </font>
    <font>
      <sz val="12"/>
      <color theme="0" tint="-0.34998626667073579"/>
      <name val="Century Gothic"/>
      <family val="2"/>
    </font>
    <font>
      <sz val="16"/>
      <name val="Century Gothic"/>
      <family val="2"/>
    </font>
    <font>
      <b/>
      <sz val="18"/>
      <name val="Century Gothic"/>
      <family val="2"/>
    </font>
    <font>
      <b/>
      <u/>
      <sz val="18"/>
      <name val="Century Gothic"/>
      <family val="2"/>
    </font>
    <font>
      <b/>
      <sz val="18"/>
      <color theme="0" tint="-0.34998626667073579"/>
      <name val="Century Gothic"/>
      <family val="2"/>
    </font>
    <font>
      <b/>
      <sz val="12"/>
      <name val="Century Gothic"/>
      <family val="2"/>
    </font>
    <font>
      <b/>
      <sz val="14"/>
      <name val="Century Gothic"/>
      <family val="2"/>
    </font>
    <font>
      <b/>
      <sz val="14"/>
      <color theme="0" tint="-0.34998626667073579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color theme="0" tint="-0.34998626667073579"/>
      <name val="Century Gothic"/>
      <family val="2"/>
    </font>
    <font>
      <sz val="12"/>
      <color rgb="FFFF0000"/>
      <name val="Century Gothic"/>
      <family val="2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omfortaa"/>
    </font>
    <font>
      <b/>
      <sz val="14"/>
      <color theme="0"/>
      <name val="Comfortaa"/>
    </font>
    <font>
      <sz val="10"/>
      <name val="Comfortaa"/>
    </font>
    <font>
      <sz val="10"/>
      <color rgb="FFFF0000"/>
      <name val="Comfortaa"/>
    </font>
    <font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4C4A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2FC9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rgb="FF0070C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 style="thin">
        <color indexed="64"/>
      </right>
      <top style="medium">
        <color rgb="FF0070C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70C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rgb="FF0070C0"/>
      </bottom>
      <diagonal/>
    </border>
    <border>
      <left style="thin">
        <color indexed="64"/>
      </left>
      <right style="medium">
        <color indexed="64"/>
      </right>
      <top/>
      <bottom style="thin">
        <color rgb="FF0070C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70C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70C0"/>
      </top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70C0"/>
      </left>
      <right style="thin">
        <color indexed="64"/>
      </right>
      <top style="thin">
        <color indexed="64"/>
      </top>
      <bottom style="medium">
        <color rgb="FF0070C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70C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00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0" fillId="2" borderId="0" xfId="0" applyFill="1"/>
    <xf numFmtId="4" fontId="7" fillId="0" borderId="0" xfId="0" applyNumberFormat="1" applyFont="1" applyAlignment="1">
      <alignment horizontal="right"/>
    </xf>
    <xf numFmtId="164" fontId="0" fillId="0" borderId="0" xfId="0" applyNumberFormat="1"/>
    <xf numFmtId="4" fontId="1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164" fontId="8" fillId="0" borderId="0" xfId="0" applyNumberFormat="1" applyFont="1"/>
    <xf numFmtId="0" fontId="0" fillId="0" borderId="0" xfId="0" applyAlignment="1">
      <alignment horizontal="left"/>
    </xf>
    <xf numFmtId="0" fontId="6" fillId="2" borderId="0" xfId="0" applyFont="1" applyFill="1"/>
    <xf numFmtId="0" fontId="12" fillId="2" borderId="0" xfId="0" applyFont="1" applyFill="1" applyAlignment="1">
      <alignment horizontal="center"/>
    </xf>
    <xf numFmtId="0" fontId="1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9" fillId="2" borderId="1" xfId="0" quotePrefix="1" applyFont="1" applyFill="1" applyBorder="1" applyAlignment="1">
      <alignment horizontal="center" vertical="center" wrapText="1"/>
    </xf>
    <xf numFmtId="43" fontId="9" fillId="2" borderId="1" xfId="2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43" fontId="9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/>
    </xf>
    <xf numFmtId="4" fontId="13" fillId="2" borderId="0" xfId="0" applyNumberFormat="1" applyFont="1" applyFill="1" applyAlignment="1">
      <alignment horizontal="right" vertical="center" wrapText="1"/>
    </xf>
    <xf numFmtId="44" fontId="8" fillId="2" borderId="1" xfId="1" applyFont="1" applyFill="1" applyBorder="1" applyAlignment="1">
      <alignment horizontal="center" vertical="center"/>
    </xf>
    <xf numFmtId="44" fontId="9" fillId="2" borderId="1" xfId="1" applyFont="1" applyFill="1" applyBorder="1" applyAlignment="1">
      <alignment vertical="center"/>
    </xf>
    <xf numFmtId="44" fontId="0" fillId="0" borderId="0" xfId="0" applyNumberFormat="1"/>
    <xf numFmtId="0" fontId="16" fillId="0" borderId="0" xfId="0" applyFont="1" applyAlignment="1">
      <alignment vertical="center"/>
    </xf>
    <xf numFmtId="44" fontId="15" fillId="2" borderId="0" xfId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0" borderId="0" xfId="0" applyFont="1"/>
    <xf numFmtId="44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9" fillId="2" borderId="1" xfId="1" applyFont="1" applyFill="1" applyBorder="1" applyAlignment="1">
      <alignment horizontal="right" vertical="center" wrapText="1"/>
    </xf>
    <xf numFmtId="44" fontId="9" fillId="2" borderId="1" xfId="1" applyFont="1" applyFill="1" applyBorder="1" applyAlignment="1">
      <alignment horizontal="center" vertical="center" wrapText="1"/>
    </xf>
    <xf numFmtId="44" fontId="0" fillId="0" borderId="0" xfId="1" applyFont="1"/>
    <xf numFmtId="44" fontId="10" fillId="4" borderId="1" xfId="1" applyFont="1" applyFill="1" applyBorder="1" applyAlignment="1">
      <alignment horizontal="center" vertical="center" wrapText="1"/>
    </xf>
    <xf numFmtId="44" fontId="9" fillId="2" borderId="0" xfId="1" applyFont="1" applyFill="1" applyAlignment="1">
      <alignment horizontal="center" vertical="center" wrapText="1"/>
    </xf>
    <xf numFmtId="44" fontId="8" fillId="0" borderId="0" xfId="0" applyNumberFormat="1" applyFont="1" applyAlignment="1">
      <alignment vertical="center"/>
    </xf>
    <xf numFmtId="44" fontId="8" fillId="0" borderId="1" xfId="1" applyFont="1" applyFill="1" applyBorder="1" applyAlignment="1">
      <alignment vertical="center"/>
    </xf>
    <xf numFmtId="44" fontId="8" fillId="0" borderId="0" xfId="1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9" fontId="11" fillId="3" borderId="0" xfId="0" applyNumberFormat="1" applyFont="1" applyFill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4" fontId="8" fillId="0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44" fontId="8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44" fontId="17" fillId="0" borderId="0" xfId="1" applyFont="1" applyProtection="1"/>
    <xf numFmtId="44" fontId="18" fillId="5" borderId="0" xfId="1" applyFont="1" applyFill="1" applyProtection="1"/>
    <xf numFmtId="0" fontId="19" fillId="0" borderId="0" xfId="0" applyFont="1" applyAlignment="1">
      <alignment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vertical="center" wrapText="1"/>
    </xf>
    <xf numFmtId="0" fontId="20" fillId="5" borderId="7" xfId="0" applyFont="1" applyFill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3" fillId="6" borderId="8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/>
    </xf>
    <xf numFmtId="0" fontId="25" fillId="5" borderId="12" xfId="0" applyFont="1" applyFill="1" applyBorder="1" applyAlignment="1">
      <alignment horizontal="center" vertical="center"/>
    </xf>
    <xf numFmtId="0" fontId="24" fillId="5" borderId="13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24" fillId="7" borderId="15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 wrapText="1"/>
    </xf>
    <xf numFmtId="0" fontId="26" fillId="0" borderId="0" xfId="0" applyFont="1"/>
    <xf numFmtId="0" fontId="24" fillId="6" borderId="17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4" fillId="6" borderId="18" xfId="0" applyFont="1" applyFill="1" applyBorder="1" applyAlignment="1">
      <alignment horizontal="center" vertical="center" wrapText="1"/>
    </xf>
    <xf numFmtId="0" fontId="24" fillId="6" borderId="19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4" fillId="7" borderId="22" xfId="0" applyFont="1" applyFill="1" applyBorder="1" applyAlignment="1">
      <alignment horizontal="center" vertical="center" wrapText="1"/>
    </xf>
    <xf numFmtId="0" fontId="24" fillId="7" borderId="23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27" fillId="2" borderId="25" xfId="0" applyFont="1" applyFill="1" applyBorder="1" applyAlignment="1">
      <alignment vertical="center" wrapText="1"/>
    </xf>
    <xf numFmtId="43" fontId="27" fillId="2" borderId="25" xfId="2" applyFont="1" applyFill="1" applyBorder="1" applyAlignment="1" applyProtection="1">
      <alignment vertical="center"/>
    </xf>
    <xf numFmtId="0" fontId="27" fillId="2" borderId="25" xfId="0" applyFont="1" applyFill="1" applyBorder="1" applyAlignment="1">
      <alignment horizontal="center" vertical="center"/>
    </xf>
    <xf numFmtId="164" fontId="27" fillId="2" borderId="26" xfId="0" applyNumberFormat="1" applyFont="1" applyFill="1" applyBorder="1" applyAlignment="1">
      <alignment horizontal="center" vertical="center"/>
    </xf>
    <xf numFmtId="44" fontId="28" fillId="6" borderId="27" xfId="1" applyFont="1" applyFill="1" applyBorder="1" applyAlignment="1">
      <alignment horizontal="center" vertical="center"/>
    </xf>
    <xf numFmtId="44" fontId="28" fillId="6" borderId="28" xfId="1" applyFont="1" applyFill="1" applyBorder="1" applyAlignment="1" applyProtection="1">
      <alignment vertical="center"/>
    </xf>
    <xf numFmtId="44" fontId="29" fillId="5" borderId="0" xfId="1" applyFont="1" applyFill="1" applyBorder="1" applyAlignment="1" applyProtection="1">
      <alignment vertical="center"/>
    </xf>
    <xf numFmtId="44" fontId="27" fillId="5" borderId="20" xfId="1" applyFont="1" applyFill="1" applyBorder="1" applyAlignment="1" applyProtection="1">
      <alignment vertical="center"/>
    </xf>
    <xf numFmtId="44" fontId="27" fillId="5" borderId="21" xfId="1" applyFont="1" applyFill="1" applyBorder="1" applyAlignment="1" applyProtection="1">
      <alignment vertical="center"/>
    </xf>
    <xf numFmtId="16" fontId="17" fillId="7" borderId="29" xfId="0" applyNumberFormat="1" applyFont="1" applyFill="1" applyBorder="1" applyAlignment="1">
      <alignment vertical="center"/>
    </xf>
    <xf numFmtId="0" fontId="17" fillId="7" borderId="30" xfId="0" applyFont="1" applyFill="1" applyBorder="1" applyAlignment="1">
      <alignment horizontal="center" vertical="center"/>
    </xf>
    <xf numFmtId="44" fontId="17" fillId="0" borderId="0" xfId="0" applyNumberFormat="1" applyFont="1" applyAlignment="1">
      <alignment vertical="center"/>
    </xf>
    <xf numFmtId="0" fontId="27" fillId="0" borderId="3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0" fontId="27" fillId="2" borderId="27" xfId="0" applyFont="1" applyFill="1" applyBorder="1" applyAlignment="1">
      <alignment horizontal="center" vertical="center"/>
    </xf>
    <xf numFmtId="44" fontId="28" fillId="6" borderId="25" xfId="1" applyFont="1" applyFill="1" applyBorder="1" applyAlignment="1">
      <alignment horizontal="center" vertical="center"/>
    </xf>
    <xf numFmtId="44" fontId="28" fillId="6" borderId="30" xfId="1" applyFont="1" applyFill="1" applyBorder="1" applyAlignment="1" applyProtection="1">
      <alignment vertical="center"/>
    </xf>
    <xf numFmtId="164" fontId="27" fillId="2" borderId="32" xfId="0" applyNumberFormat="1" applyFont="1" applyFill="1" applyBorder="1" applyAlignment="1">
      <alignment horizontal="center" vertical="center"/>
    </xf>
    <xf numFmtId="44" fontId="28" fillId="6" borderId="1" xfId="1" applyFont="1" applyFill="1" applyBorder="1" applyAlignment="1">
      <alignment horizontal="center" vertical="center"/>
    </xf>
    <xf numFmtId="0" fontId="17" fillId="7" borderId="29" xfId="0" applyFont="1" applyFill="1" applyBorder="1" applyAlignment="1">
      <alignment vertical="center"/>
    </xf>
    <xf numFmtId="0" fontId="27" fillId="0" borderId="33" xfId="0" applyFont="1" applyBorder="1" applyAlignment="1">
      <alignment horizontal="center" vertical="center" wrapText="1"/>
    </xf>
    <xf numFmtId="0" fontId="27" fillId="2" borderId="34" xfId="0" applyFont="1" applyFill="1" applyBorder="1" applyAlignment="1">
      <alignment vertical="center" wrapText="1"/>
    </xf>
    <xf numFmtId="0" fontId="27" fillId="2" borderId="18" xfId="0" applyFont="1" applyFill="1" applyBorder="1" applyAlignment="1">
      <alignment vertical="center" wrapText="1"/>
    </xf>
    <xf numFmtId="43" fontId="27" fillId="2" borderId="18" xfId="2" applyFont="1" applyFill="1" applyBorder="1" applyAlignment="1" applyProtection="1">
      <alignment vertical="center"/>
    </xf>
    <xf numFmtId="164" fontId="27" fillId="2" borderId="35" xfId="0" applyNumberFormat="1" applyFont="1" applyFill="1" applyBorder="1" applyAlignment="1">
      <alignment horizontal="center" vertical="center"/>
    </xf>
    <xf numFmtId="44" fontId="28" fillId="6" borderId="34" xfId="1" applyFont="1" applyFill="1" applyBorder="1" applyAlignment="1">
      <alignment horizontal="center" vertical="center"/>
    </xf>
    <xf numFmtId="44" fontId="28" fillId="6" borderId="36" xfId="1" applyFont="1" applyFill="1" applyBorder="1" applyAlignment="1" applyProtection="1">
      <alignment vertical="center"/>
    </xf>
    <xf numFmtId="0" fontId="27" fillId="0" borderId="37" xfId="0" applyFont="1" applyBorder="1" applyAlignment="1">
      <alignment horizontal="center" vertical="center" wrapText="1"/>
    </xf>
    <xf numFmtId="44" fontId="28" fillId="6" borderId="38" xfId="1" applyFont="1" applyFill="1" applyBorder="1" applyAlignment="1" applyProtection="1">
      <alignment vertical="center"/>
    </xf>
    <xf numFmtId="0" fontId="27" fillId="2" borderId="1" xfId="0" applyFont="1" applyFill="1" applyBorder="1" applyAlignment="1">
      <alignment horizontal="center" vertical="center"/>
    </xf>
    <xf numFmtId="0" fontId="17" fillId="7" borderId="39" xfId="0" applyFont="1" applyFill="1" applyBorder="1" applyAlignment="1">
      <alignment vertical="center"/>
    </xf>
    <xf numFmtId="0" fontId="17" fillId="7" borderId="40" xfId="0" applyFont="1" applyFill="1" applyBorder="1" applyAlignment="1">
      <alignment horizontal="center" vertical="center"/>
    </xf>
    <xf numFmtId="43" fontId="27" fillId="2" borderId="1" xfId="2" applyFont="1" applyFill="1" applyBorder="1" applyAlignment="1" applyProtection="1">
      <alignment vertical="center"/>
    </xf>
    <xf numFmtId="0" fontId="17" fillId="0" borderId="41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43" fontId="17" fillId="2" borderId="1" xfId="2" applyFont="1" applyFill="1" applyBorder="1" applyAlignment="1" applyProtection="1">
      <alignment vertical="center"/>
    </xf>
    <xf numFmtId="0" fontId="27" fillId="0" borderId="42" xfId="0" applyFont="1" applyBorder="1" applyAlignment="1">
      <alignment horizontal="center" vertical="center" wrapText="1"/>
    </xf>
    <xf numFmtId="0" fontId="27" fillId="2" borderId="10" xfId="0" applyFont="1" applyFill="1" applyBorder="1" applyAlignment="1">
      <alignment vertical="center" wrapText="1"/>
    </xf>
    <xf numFmtId="43" fontId="27" fillId="2" borderId="10" xfId="2" applyFont="1" applyFill="1" applyBorder="1" applyAlignment="1" applyProtection="1">
      <alignment vertical="center"/>
    </xf>
    <xf numFmtId="0" fontId="27" fillId="2" borderId="10" xfId="0" applyFont="1" applyFill="1" applyBorder="1" applyAlignment="1">
      <alignment horizontal="center" vertical="center"/>
    </xf>
    <xf numFmtId="164" fontId="27" fillId="2" borderId="43" xfId="0" applyNumberFormat="1" applyFont="1" applyFill="1" applyBorder="1" applyAlignment="1">
      <alignment horizontal="center" vertical="center"/>
    </xf>
    <xf numFmtId="44" fontId="28" fillId="6" borderId="10" xfId="1" applyFont="1" applyFill="1" applyBorder="1" applyAlignment="1">
      <alignment horizontal="center" vertical="center"/>
    </xf>
    <xf numFmtId="44" fontId="28" fillId="6" borderId="11" xfId="1" applyFont="1" applyFill="1" applyBorder="1" applyAlignment="1" applyProtection="1">
      <alignment vertical="center"/>
    </xf>
    <xf numFmtId="44" fontId="29" fillId="5" borderId="44" xfId="1" applyFont="1" applyFill="1" applyBorder="1" applyAlignment="1" applyProtection="1">
      <alignment vertical="center"/>
    </xf>
    <xf numFmtId="44" fontId="27" fillId="5" borderId="45" xfId="1" applyFont="1" applyFill="1" applyBorder="1" applyAlignment="1" applyProtection="1">
      <alignment vertical="center"/>
    </xf>
    <xf numFmtId="44" fontId="27" fillId="5" borderId="46" xfId="1" applyFont="1" applyFill="1" applyBorder="1" applyAlignment="1" applyProtection="1">
      <alignment vertical="center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30" fillId="0" borderId="45" xfId="0" applyFont="1" applyBorder="1" applyAlignment="1">
      <alignment horizontal="left" vertical="top" wrapText="1"/>
    </xf>
    <xf numFmtId="0" fontId="30" fillId="0" borderId="47" xfId="0" applyFont="1" applyBorder="1" applyAlignment="1">
      <alignment horizontal="left" vertical="top" wrapText="1"/>
    </xf>
    <xf numFmtId="0" fontId="30" fillId="0" borderId="48" xfId="0" applyFont="1" applyBorder="1" applyAlignment="1">
      <alignment horizontal="left" vertical="top" wrapText="1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3" fillId="8" borderId="52" xfId="0" applyFont="1" applyFill="1" applyBorder="1" applyAlignment="1">
      <alignment horizontal="center" vertical="center"/>
    </xf>
    <xf numFmtId="0" fontId="33" fillId="8" borderId="53" xfId="0" applyFont="1" applyFill="1" applyBorder="1" applyAlignment="1">
      <alignment horizontal="center" vertical="center"/>
    </xf>
    <xf numFmtId="0" fontId="33" fillId="8" borderId="54" xfId="0" applyFont="1" applyFill="1" applyBorder="1" applyAlignment="1">
      <alignment horizontal="center" vertical="center"/>
    </xf>
    <xf numFmtId="0" fontId="32" fillId="0" borderId="0" xfId="0" applyFont="1"/>
    <xf numFmtId="0" fontId="34" fillId="8" borderId="51" xfId="0" applyFont="1" applyFill="1" applyBorder="1" applyAlignment="1">
      <alignment horizontal="center" vertical="center" wrapText="1"/>
    </xf>
    <xf numFmtId="0" fontId="34" fillId="8" borderId="55" xfId="0" applyFont="1" applyFill="1" applyBorder="1" applyAlignment="1">
      <alignment horizontal="center" vertical="center" wrapText="1"/>
    </xf>
    <xf numFmtId="0" fontId="34" fillId="9" borderId="55" xfId="0" applyFont="1" applyFill="1" applyBorder="1" applyAlignment="1">
      <alignment horizontal="center" vertical="center" wrapText="1"/>
    </xf>
    <xf numFmtId="0" fontId="34" fillId="8" borderId="56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5" fillId="10" borderId="57" xfId="2" applyNumberFormat="1" applyFont="1" applyFill="1" applyBorder="1" applyAlignment="1" applyProtection="1">
      <alignment horizontal="center"/>
    </xf>
    <xf numFmtId="43" fontId="35" fillId="10" borderId="58" xfId="2" applyFont="1" applyFill="1" applyBorder="1" applyProtection="1"/>
    <xf numFmtId="43" fontId="35" fillId="10" borderId="58" xfId="2" applyFont="1" applyFill="1" applyBorder="1" applyAlignment="1" applyProtection="1">
      <alignment horizontal="center"/>
    </xf>
    <xf numFmtId="0" fontId="35" fillId="10" borderId="58" xfId="0" applyFont="1" applyFill="1" applyBorder="1" applyAlignment="1">
      <alignment horizontal="center"/>
    </xf>
    <xf numFmtId="168" fontId="35" fillId="10" borderId="58" xfId="0" applyNumberFormat="1" applyFont="1" applyFill="1" applyBorder="1" applyAlignment="1">
      <alignment horizontal="center"/>
    </xf>
    <xf numFmtId="44" fontId="35" fillId="0" borderId="58" xfId="1" applyFont="1" applyFill="1" applyBorder="1" applyProtection="1"/>
    <xf numFmtId="44" fontId="35" fillId="11" borderId="58" xfId="1" applyFont="1" applyFill="1" applyBorder="1" applyProtection="1"/>
    <xf numFmtId="9" fontId="35" fillId="0" borderId="58" xfId="3" applyFont="1" applyFill="1" applyBorder="1" applyAlignment="1" applyProtection="1">
      <alignment horizontal="center"/>
    </xf>
    <xf numFmtId="9" fontId="35" fillId="11" borderId="58" xfId="3" applyFont="1" applyFill="1" applyBorder="1" applyAlignment="1" applyProtection="1">
      <alignment horizontal="center"/>
    </xf>
    <xf numFmtId="44" fontId="35" fillId="10" borderId="59" xfId="1" applyFont="1" applyFill="1" applyBorder="1" applyProtection="1"/>
    <xf numFmtId="0" fontId="35" fillId="10" borderId="50" xfId="2" applyNumberFormat="1" applyFont="1" applyFill="1" applyBorder="1" applyAlignment="1" applyProtection="1">
      <alignment horizontal="center"/>
    </xf>
    <xf numFmtId="43" fontId="35" fillId="10" borderId="49" xfId="2" applyFont="1" applyFill="1" applyBorder="1" applyProtection="1"/>
    <xf numFmtId="43" fontId="35" fillId="10" borderId="49" xfId="2" applyFont="1" applyFill="1" applyBorder="1" applyAlignment="1" applyProtection="1">
      <alignment horizontal="center"/>
    </xf>
    <xf numFmtId="0" fontId="35" fillId="10" borderId="49" xfId="0" applyFont="1" applyFill="1" applyBorder="1" applyAlignment="1">
      <alignment horizontal="center"/>
    </xf>
    <xf numFmtId="44" fontId="35" fillId="0" borderId="49" xfId="1" applyFont="1" applyFill="1" applyBorder="1" applyProtection="1"/>
    <xf numFmtId="9" fontId="35" fillId="0" borderId="49" xfId="3" applyFont="1" applyFill="1" applyBorder="1" applyAlignment="1" applyProtection="1">
      <alignment horizontal="center"/>
    </xf>
    <xf numFmtId="9" fontId="35" fillId="11" borderId="49" xfId="3" applyFont="1" applyFill="1" applyBorder="1" applyAlignment="1" applyProtection="1">
      <alignment horizontal="center"/>
    </xf>
    <xf numFmtId="168" fontId="35" fillId="10" borderId="49" xfId="0" applyNumberFormat="1" applyFont="1" applyFill="1" applyBorder="1" applyAlignment="1">
      <alignment horizontal="center"/>
    </xf>
    <xf numFmtId="44" fontId="35" fillId="11" borderId="49" xfId="1" applyFont="1" applyFill="1" applyBorder="1" applyProtection="1"/>
    <xf numFmtId="9" fontId="36" fillId="0" borderId="49" xfId="3" applyFont="1" applyFill="1" applyBorder="1" applyAlignment="1" applyProtection="1">
      <alignment horizontal="center"/>
    </xf>
    <xf numFmtId="44" fontId="35" fillId="11" borderId="49" xfId="1" applyFont="1" applyFill="1" applyBorder="1" applyAlignment="1" applyProtection="1">
      <alignment horizontal="center"/>
    </xf>
    <xf numFmtId="43" fontId="35" fillId="10" borderId="49" xfId="2" applyFont="1" applyFill="1" applyBorder="1" applyAlignment="1" applyProtection="1">
      <alignment horizontal="left"/>
    </xf>
    <xf numFmtId="0" fontId="37" fillId="0" borderId="0" xfId="0" applyFont="1" applyAlignment="1">
      <alignment vertical="center"/>
    </xf>
    <xf numFmtId="0" fontId="35" fillId="10" borderId="51" xfId="2" applyNumberFormat="1" applyFont="1" applyFill="1" applyBorder="1" applyAlignment="1" applyProtection="1">
      <alignment horizontal="center"/>
    </xf>
    <xf numFmtId="43" fontId="35" fillId="10" borderId="60" xfId="2" applyFont="1" applyFill="1" applyBorder="1" applyProtection="1"/>
    <xf numFmtId="43" fontId="35" fillId="10" borderId="60" xfId="2" applyFont="1" applyFill="1" applyBorder="1" applyAlignment="1" applyProtection="1">
      <alignment horizontal="center"/>
    </xf>
    <xf numFmtId="0" fontId="35" fillId="10" borderId="60" xfId="0" applyFont="1" applyFill="1" applyBorder="1" applyAlignment="1">
      <alignment horizontal="center"/>
    </xf>
    <xf numFmtId="168" fontId="35" fillId="10" borderId="60" xfId="0" applyNumberFormat="1" applyFont="1" applyFill="1" applyBorder="1" applyAlignment="1">
      <alignment horizontal="center"/>
    </xf>
    <xf numFmtId="44" fontId="35" fillId="0" borderId="60" xfId="1" applyFont="1" applyFill="1" applyBorder="1" applyProtection="1"/>
    <xf numFmtId="44" fontId="35" fillId="11" borderId="60" xfId="1" applyFont="1" applyFill="1" applyBorder="1" applyProtection="1"/>
    <xf numFmtId="9" fontId="35" fillId="0" borderId="60" xfId="3" applyFont="1" applyFill="1" applyBorder="1" applyAlignment="1" applyProtection="1">
      <alignment horizontal="center"/>
    </xf>
    <xf numFmtId="43" fontId="35" fillId="10" borderId="61" xfId="2" applyFont="1" applyFill="1" applyBorder="1" applyAlignment="1" applyProtection="1">
      <alignment horizontal="center"/>
    </xf>
    <xf numFmtId="0" fontId="31" fillId="0" borderId="0" xfId="0" applyFont="1" applyAlignment="1">
      <alignment horizontal="center"/>
    </xf>
    <xf numFmtId="44" fontId="31" fillId="0" borderId="0" xfId="1" applyFont="1" applyFill="1" applyProtection="1"/>
    <xf numFmtId="44" fontId="31" fillId="0" borderId="0" xfId="1" applyFont="1" applyProtection="1"/>
    <xf numFmtId="44" fontId="31" fillId="0" borderId="0" xfId="1" applyFont="1" applyFill="1" applyAlignment="1" applyProtection="1">
      <alignment horizontal="center"/>
    </xf>
    <xf numFmtId="44" fontId="31" fillId="0" borderId="0" xfId="1" applyFont="1" applyAlignment="1" applyProtection="1">
      <alignment horizontal="center"/>
    </xf>
  </cellXfs>
  <cellStyles count="4">
    <cellStyle name="Moeda" xfId="1" builtinId="4"/>
    <cellStyle name="Normal" xfId="0" builtinId="0"/>
    <cellStyle name="Porcentagem" xfId="3" builtinId="5"/>
    <cellStyle name="Vírgula" xfId="2" builtinId="3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numFmt numFmtId="166" formatCode="_-&quot;R$&quot;* #,##0.00_-;\-&quot;R$&quot;* #,##0.00_-;_-&quot;R$&quot;* &quot;-&quot;??_-;_-@_-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numFmt numFmtId="166" formatCode="_-&quot;R$&quot;* #,##0.00_-;\-&quot;R$&quot;* #,##0.00_-;_-&quot;R$&quot;* &quot;-&quot;??_-;_-@_-"/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numFmt numFmtId="164" formatCode="h:mm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rgb="FF0070C0"/>
        </bottom>
      </border>
    </dxf>
    <dxf>
      <border outline="0">
        <top style="hair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entury Gothic"/>
        <family val="2"/>
        <scheme val="none"/>
      </font>
      <fill>
        <patternFill patternType="solid">
          <fgColor indexed="64"/>
          <bgColor rgb="FF38C1C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4C4AD"/>
      <color rgb="FF0EE0CC"/>
      <color rgb="FF0CB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PRINCIPAL!A1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6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7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8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jpeg"/><Relationship Id="rId1" Type="http://schemas.openxmlformats.org/officeDocument/2006/relationships/hyperlink" Target="#TABEL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1</xdr:row>
      <xdr:rowOff>0</xdr:rowOff>
    </xdr:from>
    <xdr:to>
      <xdr:col>11</xdr:col>
      <xdr:colOff>2486025</xdr:colOff>
      <xdr:row>40</xdr:row>
      <xdr:rowOff>137361</xdr:rowOff>
    </xdr:to>
    <xdr:pic>
      <xdr:nvPicPr>
        <xdr:cNvPr id="22802" name="Picture 1">
          <a:extLst>
            <a:ext uri="{FF2B5EF4-FFF2-40B4-BE49-F238E27FC236}">
              <a16:creationId xmlns:a16="http://schemas.microsoft.com/office/drawing/2014/main" id="{00000000-0008-0000-0100-0000125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28575"/>
          <a:ext cx="4895850" cy="772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1143000</xdr:colOff>
      <xdr:row>1</xdr:row>
      <xdr:rowOff>0</xdr:rowOff>
    </xdr:from>
    <xdr:to>
      <xdr:col>11</xdr:col>
      <xdr:colOff>2019300</xdr:colOff>
      <xdr:row>1</xdr:row>
      <xdr:rowOff>133350</xdr:rowOff>
    </xdr:to>
    <xdr:sp macro="" textlink="">
      <xdr:nvSpPr>
        <xdr:cNvPr id="14" name="Text Box 3" descr="Caixa de texto: &#10; TELA&#10;INICIAL">
          <a:hlinkClick xmlns:r="http://schemas.openxmlformats.org/officeDocument/2006/relationships" r:id="rId2" tooltip="VOLTAR A TELA INICIAL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8382000" y="238125"/>
          <a:ext cx="876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TABELA</a:t>
          </a:r>
        </a:p>
      </xdr:txBody>
    </xdr:sp>
    <xdr:clientData/>
  </xdr:twoCellAnchor>
  <xdr:oneCellAnchor>
    <xdr:from>
      <xdr:col>1</xdr:col>
      <xdr:colOff>571500</xdr:colOff>
      <xdr:row>1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81050" y="1157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1</xdr:col>
      <xdr:colOff>119312</xdr:colOff>
      <xdr:row>6</xdr:row>
      <xdr:rowOff>128836</xdr:rowOff>
    </xdr:from>
    <xdr:to>
      <xdr:col>13</xdr:col>
      <xdr:colOff>140369</xdr:colOff>
      <xdr:row>95</xdr:row>
      <xdr:rowOff>120316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29865" y="1412204"/>
          <a:ext cx="11691688" cy="16945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 b="1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endParaRPr lang="pt-BR" sz="1100" b="1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rgbClr val="04C4AD"/>
              </a:solidFill>
              <a:effectLst/>
              <a:latin typeface="+mn-lt"/>
              <a:ea typeface="+mn-ea"/>
              <a:cs typeface="+mn-cs"/>
            </a:rPr>
            <a:t>Prezado(a) Dr(a) !</a:t>
          </a: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Disponibilizamos aqui nossa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tabela de Preços Padronizados do Hospital Vera Cruz 2023 .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Objetivo é oferecer melhores condições e formas de pagamento ao seu paciente, e com isso  tornar mais simples o seu dia-a-dia.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informações apresentadas são de uso restrito aos médicos do Corpo Clinico do Hospital Vera Cruz, sendo vetada a distribuição a terceiros. </a:t>
          </a:r>
          <a:endParaRPr lang="pt-BR">
            <a:effectLst/>
          </a:endParaRPr>
        </a:p>
        <a:p>
          <a:r>
            <a:rPr lang="pt-B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pt-BR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Vera cruz Hospital,</a:t>
          </a:r>
          <a:r>
            <a:rPr lang="pt-B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pode suspender, sem prévio aviso, temporária ou definitivamente, a aplicação dos valores  </a:t>
          </a:r>
          <a:r>
            <a:rPr lang="pt-BR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e/ou alterar as premissas aqui apresentadas.</a:t>
          </a:r>
          <a:endParaRPr lang="pt-BR" u="sng">
            <a:effectLst/>
          </a:endParaRPr>
        </a:p>
        <a:p>
          <a:endParaRPr lang="pt-BR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u="sng">
              <a:solidFill>
                <a:srgbClr val="04C4AD"/>
              </a:solidFill>
              <a:effectLst/>
              <a:latin typeface="+mn-lt"/>
              <a:ea typeface="+mn-ea"/>
              <a:cs typeface="+mn-cs"/>
            </a:rPr>
            <a:t>- Instruções Gerais e Co</a:t>
          </a:r>
          <a:r>
            <a:rPr lang="pt-BR" sz="1100" b="1" u="sng" baseline="0">
              <a:solidFill>
                <a:srgbClr val="04C4AD"/>
              </a:solidFill>
              <a:effectLst/>
              <a:latin typeface="+mn-lt"/>
              <a:ea typeface="+mn-ea"/>
              <a:cs typeface="+mn-cs"/>
            </a:rPr>
            <a:t>mposição dos pacotes</a:t>
          </a:r>
          <a:r>
            <a:rPr lang="pt-BR" sz="1100" b="1" u="sng">
              <a:solidFill>
                <a:srgbClr val="04C4AD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No valor deste orçamento (Pacote) está previsto diária hospitalar (exceto para procedimento ambulatorial, onde a alta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ocorre logo apos recuperação do centro cirurgico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taxas de centro cirúrgico, material/medicação uso comum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habitual ao procedimento.</a:t>
          </a: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- Na hipótese de ocorrer alta antes dos dias previstos no pacote, não será feita devolução da diferença, uma vez que trata-se de pacote.</a:t>
          </a: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 tempo cirúrgico é contado pelo tempo sala. Excedido o tempo estipulado será cobrada uma taxa adicional de  R$ 1.200,00 por hora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 Vera Cruz e R$ 1.000,00 na Casa Saúde.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 diária hospitalar vence às 10:00 horas do dia subsequente à internação, independente do horário da internação. Para procedimento com previsão de Day Hospital a alta deverá ser até às 19:00 horas. Para procedimento ambulatorial não está previsto internação.</a:t>
          </a: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Quando ocorrer complicações ou intercorrências não habituais, tão quais diárias ou procedimentos adicionais, este orçamento perde a validade e a conta hospitalar será cobrado de forma aberta, ou seja, na totalidade dos gastos e de acordo com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Tabela Particular Vigente (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formato fee for service).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Na hipótese de haver utilização de materiais excedentes aos previstos ou não inclusos no pacote, será cobrado adicionalmente no fechamento da conta hospitalar.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Os valores dos Preços Padronizados são válido apenas para procedimentos Eletivos, perdendo a validade para internação de urgência.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Para instruções da Cirurgia Plastica, considerar as que estão abaixo da tabela da especialidade (na aba da cirurgia plástica).</a:t>
          </a:r>
          <a:endParaRPr lang="pt-BR">
            <a:effectLst/>
          </a:endParaRPr>
        </a:p>
        <a:p>
          <a:pPr lvl="1"/>
          <a:endParaRPr lang="pt-B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Procedimentos Associados (todos particulares): obedecem ao seguinte critério: </a:t>
          </a:r>
        </a:p>
        <a:p>
          <a:pPr lvl="1"/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 Será cobrado 100% do procedimento de maior valor + 50% do 2º Procedimento de maior valor + 30%  do 3º Procedimento e demais que ocorrer.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 Tempo sala:  será disponibilizado: 100% do tempo para o procedimento de maior valor e 50% do tempo para os demais procedimentos.</a:t>
          </a:r>
          <a:endParaRPr lang="pt-BR">
            <a:effectLst/>
          </a:endParaRPr>
        </a:p>
        <a:p>
          <a:pPr lvl="1"/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Cirurgia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associada pelo convênio em carater de Internação: </a:t>
          </a:r>
        </a:p>
        <a:p>
          <a:pPr lvl="2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paciente que  internar pelo convênio para realizar outro procedimento, desde que previamente autorizado,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realizar outro procedimento dessa tabela particular no mesmo ato cirúrgico, terá desconto de 50% correspondente a diária do Apartamento da tabela particu lar em vigor.  Nesse caso, o Paciente ficará na acomodação de direito do plano (Apartamento ou Leito,  respeitando a regra contratual com o convênio).</a:t>
          </a:r>
        </a:p>
        <a:p>
          <a:pPr lvl="2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Importante: Desconto não válido para procedimento Ambulatorial.</a:t>
          </a:r>
        </a:p>
        <a:p>
          <a:pPr lvl="1"/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Caso paciente necessite de 01 diária adicional </a:t>
          </a:r>
          <a:r>
            <a:rPr lang="pt-B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apenas para observação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o valor adicional será de R$ 2.500,00 Vera Cruz e R$ 2.000,00 Casa Saúde 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(Exceção para os casos em que a necessidade de diária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adicinal se dá em função de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intercorrências clínicas/cirúrgicas ou necessidades de medicação/material/terapias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alto custo.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Neste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caso o pacote perde a validade e a conta hospitalar sera faturada em sua totalidade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pPr lvl="1"/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Exclusões:</a:t>
          </a:r>
          <a:endParaRPr lang="pt-BR">
            <a:effectLst/>
          </a:endParaRP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Não estão inclusos Internações em acomodações de Unidade Semi-Intensiva e UTI, exceto se solicitados previamente e já previstos nesse orçamento.</a:t>
          </a:r>
          <a:endParaRPr lang="pt-BR">
            <a:effectLst/>
          </a:endParaRP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Não estão inclusos Órteses, próteses e materiais especiais, exceto se solicitado previamente e já previstos nesse orçamento. Importante: - Se houver a previsão de uso de Materiais Especiais, estes não podem ser negociados direto com o fornecedor, devem ser disponibilizados via Hospital.</a:t>
          </a:r>
          <a:endParaRPr lang="pt-BR">
            <a:effectLst/>
          </a:endParaRP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No orçamento NÃO estão inclusos: Honorários médicos (*), sangue e hemoderivados, exames ou procedimentos pré-operatórios, exames complementares de diagnose e terapia de qualquer natureza, fisioterapia, anátomo patológico, nutrição, medicações de alto custo (ex.: imunoglobulina, quimioterápicos, antibióticos, imunobiológicos, antivirais, antifúngicos e surfactantes) , nutrição enteral e parenteral,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equipe multodiciplinar e outros profissionais que possam ser solicitados. </a:t>
          </a:r>
          <a:endParaRPr lang="pt-BR">
            <a:effectLst/>
          </a:endParaRP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Intercorrências clinicas ou cirurgicas.</a:t>
          </a:r>
          <a:endParaRPr lang="pt-BR">
            <a:effectLst/>
          </a:endParaRP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Honorários Médicos: -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Os honorários médicos deverão ser combinados/negociados diretamente com equipe médica, exceto os honorários que eventualmete já contemplados nesse orçamento. </a:t>
          </a:r>
          <a:endParaRPr lang="pt-BR">
            <a:effectLst/>
          </a:endParaRP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Lembrando que os honorários do anestesista correspondem a 40% do valor do cirurgião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devem ser pago separadamente do valor hospitalar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Os demais serviços, se houver, devem ser pagos adicionalmente de acordo com valores e forma de pagamento apresentado pelos respectivos serviços.</a:t>
          </a: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t-BR" sz="1100" b="1">
              <a:solidFill>
                <a:srgbClr val="04C4AD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pt-BR" sz="1100" b="1" u="sng">
              <a:solidFill>
                <a:srgbClr val="04C4AD"/>
              </a:solidFill>
              <a:effectLst/>
              <a:latin typeface="+mn-lt"/>
              <a:ea typeface="+mn-ea"/>
              <a:cs typeface="+mn-cs"/>
            </a:rPr>
            <a:t> Instruções Fluxo</a:t>
          </a:r>
          <a:r>
            <a:rPr lang="pt-BR" sz="1100" b="1" u="sng" baseline="0">
              <a:solidFill>
                <a:srgbClr val="04C4AD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 u="sng">
              <a:solidFill>
                <a:srgbClr val="04C4AD"/>
              </a:solidFill>
              <a:effectLst/>
              <a:latin typeface="+mn-lt"/>
              <a:ea typeface="+mn-ea"/>
              <a:cs typeface="+mn-cs"/>
            </a:rPr>
            <a:t>Financeiras:</a:t>
          </a:r>
        </a:p>
        <a:p>
          <a:endParaRPr lang="pt-BR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pt-BR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pt-BR" sz="11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paciente/responsável deve entrar em contato com a Tesouraria do Hospital, para alinhar as trataivas financeiras antes da internação do paciente.</a:t>
          </a: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Vera Cruz Hospital:  </a:t>
          </a:r>
          <a:r>
            <a:rPr lang="pt-B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secretaria@hospitalveracruz.com.br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Fone 3734-3145 , whatsap (19) 99872-2634</a:t>
          </a:r>
          <a:endParaRPr lang="pt-BR">
            <a:effectLst/>
          </a:endParaRPr>
        </a:p>
        <a:p>
          <a:pPr lvl="1" algn="l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Casa Saude Hospital: </a:t>
          </a:r>
          <a:r>
            <a:rPr lang="pt-B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secretaria@casadesaudecampinas.com.br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Fone (19) 3736-3539, whatsap (19) 99205-5302</a:t>
          </a:r>
          <a:endParaRPr lang="pt-BR">
            <a:effectLst/>
          </a:endParaRPr>
        </a:p>
        <a:p>
          <a:pPr lvl="1"/>
          <a:endParaRPr lang="pt-BR" sz="1100" b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pt-BR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 de pagamento:  </a:t>
          </a:r>
        </a:p>
        <a:p>
          <a:pPr lvl="2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Valor Hospitalar: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ser pago até 03 dias antes da internação , através de deposito bancário ou Cartão de crédito (em até 03x para orçamento de até R$ 6.000,00 / até 4x para orçamento de R$ 6.000,01 a R$ 16.000,00 / até 5x para orçamento de R$ 16.000,01 a R$ 22.000,00 / até 6x para orçamento R$ de 22.000,01 até R$ 30.000,00 / até 8 x para orçamentos acima de 30.000,00</a:t>
          </a:r>
        </a:p>
        <a:p>
          <a:pPr lvl="2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Valor do Anestesista: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ser pago separadamente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gasto hospitalar, de acordo com valores e instruções da Secretaria do hospital.  Tal valor deve ser pago diretamente à equipe de anestesia do hospital.</a:t>
          </a:r>
        </a:p>
        <a:p>
          <a:pPr lvl="2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 que momento pagar:</a:t>
          </a:r>
        </a:p>
        <a:p>
          <a:pPr lvl="2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Procedimentos em caráter de internação: Depósito bancário em até 03 dias úteis antes da internação e mediante envio comprovante bancário.</a:t>
          </a:r>
        </a:p>
        <a:p>
          <a:pPr lvl="3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Obs.: Os acertos finais, correspondente aos gastos adicionais, se houver, deverão ser feitos e pago no momento do fechamento da conta hospitalar.</a:t>
          </a:r>
        </a:p>
        <a:p>
          <a:pPr lvl="2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Procedimento ambulatorial (sem internação): A pagar após procedimento na Secretaria do Hospital.</a:t>
          </a: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pt-BR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Demais Orientações Gerais:</a:t>
          </a:r>
          <a:endParaRPr lang="pt-BR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 Nota Fiscal será emitida, após a alta, somente em nome do paciente OU do responsável que assinar contrato de internação ou atendimento.</a:t>
          </a: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Não será possível o pagamento com cheque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(exceto se houver autorização prévia da secretaria do hospital)</a:t>
          </a: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 Honorários médicos, serviços terceirizados, exames de diagnóstico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não estão inclusos no orçamento, devendo ser pagos separadamente à conta hospitalar, sedo que a Secretaria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passará as instruções de valores e pagamentos.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 Nos orçamentos na modalidade de Pacote, não é disponibilizado a descriminação da conta detalhada, apenas é disponibilizado a nota fiscal.</a:t>
          </a: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Caso paciente/responsável tenha dúvidas e queira falar conosco, entrar em contato com a Tesouraria do Hospital,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sendo:</a:t>
          </a: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Vera Cruz Hospital:  </a:t>
          </a:r>
          <a:r>
            <a:rPr lang="pt-B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secretaria@hospitalveracruz.com.br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Fone 3734-3145 , whatsap (19) 99872-2634</a:t>
          </a:r>
          <a:endParaRPr lang="pt-BR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Casa Saude Hospital: </a:t>
          </a:r>
          <a:r>
            <a:rPr lang="pt-B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secretaria@casadesaudecampinas.com.br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Fone (19) 3736-3539, whatsap (19) 99205-5302</a:t>
          </a:r>
          <a:endParaRPr lang="pt-BR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endParaRPr lang="pt-B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pt-BR" sz="110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1" u="sng">
              <a:solidFill>
                <a:srgbClr val="04C4AD"/>
              </a:solidFill>
              <a:effectLst/>
              <a:latin typeface="+mn-lt"/>
              <a:ea typeface="+mn-ea"/>
              <a:cs typeface="+mn-cs"/>
            </a:rPr>
            <a:t>- Nosso Principais Canais</a:t>
          </a:r>
          <a:r>
            <a:rPr lang="pt-BR" sz="1100" b="1" u="sng" baseline="0">
              <a:solidFill>
                <a:srgbClr val="04C4AD"/>
              </a:solidFill>
              <a:effectLst/>
              <a:latin typeface="+mn-lt"/>
              <a:ea typeface="+mn-ea"/>
              <a:cs typeface="+mn-cs"/>
            </a:rPr>
            <a:t> de Acesso:</a:t>
          </a:r>
          <a:endParaRPr lang="pt-BR" sz="1100" b="1" u="sng">
            <a:solidFill>
              <a:srgbClr val="04C4AD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 algn="l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Orcamento particular: </a:t>
          </a:r>
        </a:p>
        <a:p>
          <a:pPr lvl="1" algn="l"/>
          <a:r>
            <a:rPr lang="pt-BR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Exclusivo para Médicos 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suas respectivas Secretárias, para tratar de assuntos referente à Orçamento Hospitalar Particular Eletivo são:  </a:t>
          </a:r>
        </a:p>
        <a:p>
          <a:pPr lvl="1" algn="l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 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orcamentoparticular@hospitalveracruz.com.br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/ Fone: 019 - 3734-3258   /  WhatsApp: 019 - 9.9686-2162</a:t>
          </a:r>
        </a:p>
        <a:p>
          <a:pPr lvl="1" algn="l"/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 algn="l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Tesouraria: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Vera Cruz Hospital:  </a:t>
          </a:r>
          <a:r>
            <a:rPr lang="pt-B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secretaria@hospitalveracruz.com.br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Fone 3734-3145 , whatsap (19) 99872-2634</a:t>
          </a:r>
          <a:endParaRPr lang="pt-BR">
            <a:effectLst/>
          </a:endParaRPr>
        </a:p>
        <a:p>
          <a:pPr lvl="1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Casa Saude Hospital: </a:t>
          </a:r>
          <a:r>
            <a:rPr lang="pt-B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secretaria@casadesaudecampinas.com.br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Fone (19) 3736-3539, whatsap (19) 99205-5302</a:t>
          </a:r>
          <a:endParaRPr lang="pt-BR">
            <a:effectLst/>
          </a:endParaRPr>
        </a:p>
        <a:p>
          <a:pPr lvl="1" algn="l"/>
          <a:endParaRPr lang="pt-BR">
            <a:effectLst/>
          </a:endParaRPr>
        </a:p>
        <a:p>
          <a:pPr lvl="1" algn="l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Central de agendamento cirúrgico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lvl="1" algn="l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Link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para dar entrada de processo de agendamento/autorização: </a:t>
          </a: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https://www.portalfinx.com.br/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 algn="l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Duvidas e solicitação de acesso ao Portal virtual: e-mail 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central.agendamento@hospitalveracruz.com.br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/ Fone: 3734-3220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lvl="1" algn="l"/>
          <a:endParaRPr lang="pt-B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 algn="l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SAMM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 algn="l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Serviço Atendimento Médico e Equipe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Multidiciplinar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(duvidas, sugestões, reclamações)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 algn="l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 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atendimentomedico@hospitalveracruz.com.br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/ Fone 3734-3124</a:t>
          </a:r>
          <a:endParaRPr lang="pt-BR">
            <a:effectLst/>
          </a:endParaRP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Conte conosco.</a:t>
          </a:r>
          <a:b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Relacionamento de Mercado - Hospital Vera Cruz</a:t>
          </a:r>
          <a:b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pt-BR"/>
          </a:br>
          <a:endParaRPr lang="pt-BR" sz="1100"/>
        </a:p>
      </xdr:txBody>
    </xdr:sp>
    <xdr:clientData/>
  </xdr:twoCellAnchor>
  <xdr:twoCellAnchor editAs="oneCell">
    <xdr:from>
      <xdr:col>1</xdr:col>
      <xdr:colOff>277498</xdr:colOff>
      <xdr:row>1</xdr:row>
      <xdr:rowOff>280737</xdr:rowOff>
    </xdr:from>
    <xdr:to>
      <xdr:col>2</xdr:col>
      <xdr:colOff>508786</xdr:colOff>
      <xdr:row>6</xdr:row>
      <xdr:rowOff>100263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051" y="471237"/>
          <a:ext cx="1524682" cy="1102894"/>
        </a:xfrm>
        <a:prstGeom prst="rect">
          <a:avLst/>
        </a:prstGeom>
      </xdr:spPr>
    </xdr:pic>
    <xdr:clientData/>
  </xdr:twoCellAnchor>
  <xdr:twoCellAnchor editAs="oneCell">
    <xdr:from>
      <xdr:col>11</xdr:col>
      <xdr:colOff>972551</xdr:colOff>
      <xdr:row>1</xdr:row>
      <xdr:rowOff>270711</xdr:rowOff>
    </xdr:from>
    <xdr:to>
      <xdr:col>11</xdr:col>
      <xdr:colOff>2302213</xdr:colOff>
      <xdr:row>5</xdr:row>
      <xdr:rowOff>125936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87E53DC-92D6-4F33-A66E-DD21864F6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5762" y="270711"/>
          <a:ext cx="1329662" cy="948093"/>
        </a:xfrm>
        <a:prstGeom prst="rect">
          <a:avLst/>
        </a:prstGeom>
      </xdr:spPr>
    </xdr:pic>
    <xdr:clientData/>
  </xdr:twoCellAnchor>
  <xdr:oneCellAnchor>
    <xdr:from>
      <xdr:col>2</xdr:col>
      <xdr:colOff>698383</xdr:colOff>
      <xdr:row>3</xdr:row>
      <xdr:rowOff>79271</xdr:rowOff>
    </xdr:from>
    <xdr:ext cx="7282563" cy="41723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E017F8F3-86AD-4BE7-91DD-90E5D7BDCB54}"/>
            </a:ext>
          </a:extLst>
        </xdr:cNvPr>
        <xdr:cNvSpPr txBox="1">
          <a:spLocks noChangeArrowheads="1"/>
        </xdr:cNvSpPr>
      </xdr:nvSpPr>
      <xdr:spPr bwMode="auto">
        <a:xfrm>
          <a:off x="2202330" y="610666"/>
          <a:ext cx="7282563" cy="417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45720" tIns="41148" rIns="45720" bIns="0" anchor="ctr" upright="1">
          <a:spAutoFit/>
        </a:bodyPr>
        <a:lstStyle/>
        <a:p>
          <a:pPr algn="ctr" rtl="0">
            <a:defRPr sz="1000"/>
          </a:pPr>
          <a:r>
            <a:rPr lang="pt-BR" sz="2400" b="1" i="0" u="none" strike="noStrike" baseline="0">
              <a:solidFill>
                <a:srgbClr val="04C4AD"/>
              </a:solidFill>
              <a:latin typeface="+mn-lt"/>
            </a:rPr>
            <a:t>TABELA DE PREÇOS PADRONIZADOS - PARTICULAR 2023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152400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181100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391522</xdr:colOff>
      <xdr:row>1</xdr:row>
      <xdr:rowOff>133015</xdr:rowOff>
    </xdr:from>
    <xdr:ext cx="7282563" cy="41723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1619189" y="323515"/>
          <a:ext cx="7282563" cy="417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45720" tIns="41148" rIns="45720" bIns="0" anchor="ctr" upright="1">
          <a:spAutoFit/>
        </a:bodyPr>
        <a:lstStyle/>
        <a:p>
          <a:pPr algn="ctr" rtl="0">
            <a:defRPr sz="1000"/>
          </a:pPr>
          <a:r>
            <a:rPr lang="pt-BR" sz="2400" b="1" i="0" u="none" strike="noStrike" baseline="0">
              <a:solidFill>
                <a:srgbClr val="04C4AD"/>
              </a:solidFill>
              <a:latin typeface="+mn-lt"/>
            </a:rPr>
            <a:t>TABELA DE PREÇOS PARTICULAR 2023</a:t>
          </a:r>
        </a:p>
      </xdr:txBody>
    </xdr:sp>
    <xdr:clientData/>
  </xdr:oneCellAnchor>
  <xdr:twoCellAnchor editAs="oneCell">
    <xdr:from>
      <xdr:col>1</xdr:col>
      <xdr:colOff>504825</xdr:colOff>
      <xdr:row>1</xdr:row>
      <xdr:rowOff>161924</xdr:rowOff>
    </xdr:from>
    <xdr:to>
      <xdr:col>3</xdr:col>
      <xdr:colOff>428849</xdr:colOff>
      <xdr:row>5</xdr:row>
      <xdr:rowOff>95250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352424"/>
          <a:ext cx="1143224" cy="828676"/>
        </a:xfrm>
        <a:prstGeom prst="rect">
          <a:avLst/>
        </a:prstGeom>
      </xdr:spPr>
    </xdr:pic>
    <xdr:clientData/>
  </xdr:twoCellAnchor>
  <xdr:twoCellAnchor editAs="oneCell">
    <xdr:from>
      <xdr:col>12</xdr:col>
      <xdr:colOff>22226</xdr:colOff>
      <xdr:row>1</xdr:row>
      <xdr:rowOff>207939</xdr:rowOff>
    </xdr:from>
    <xdr:to>
      <xdr:col>13</xdr:col>
      <xdr:colOff>185209</xdr:colOff>
      <xdr:row>6</xdr:row>
      <xdr:rowOff>70074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78AA76D-6C9F-476A-8554-1DA4445F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5726" y="398439"/>
          <a:ext cx="1263650" cy="95221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152400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181100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40156</xdr:colOff>
      <xdr:row>2</xdr:row>
      <xdr:rowOff>88566</xdr:rowOff>
    </xdr:from>
    <xdr:ext cx="7282563" cy="41723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2716681" y="602916"/>
          <a:ext cx="7282563" cy="417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45720" tIns="41148" rIns="45720" bIns="0" anchor="ctr" upright="1">
          <a:spAutoFit/>
        </a:bodyPr>
        <a:lstStyle/>
        <a:p>
          <a:pPr algn="ctr" rtl="0">
            <a:defRPr sz="1000"/>
          </a:pPr>
          <a:r>
            <a:rPr lang="pt-BR" sz="2400" b="1" i="0" u="none" strike="noStrike" baseline="0">
              <a:solidFill>
                <a:srgbClr val="04C4AD"/>
              </a:solidFill>
              <a:latin typeface="+mn-lt"/>
            </a:rPr>
            <a:t>TABELA DE PREÇOS PARTICULAR 2023</a:t>
          </a:r>
        </a:p>
      </xdr:txBody>
    </xdr:sp>
    <xdr:clientData/>
  </xdr:oneCellAnchor>
  <xdr:twoCellAnchor editAs="oneCell">
    <xdr:from>
      <xdr:col>1</xdr:col>
      <xdr:colOff>431283</xdr:colOff>
      <xdr:row>1</xdr:row>
      <xdr:rowOff>66674</xdr:rowOff>
    </xdr:from>
    <xdr:to>
      <xdr:col>3</xdr:col>
      <xdr:colOff>314325</xdr:colOff>
      <xdr:row>4</xdr:row>
      <xdr:rowOff>133350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883" y="257174"/>
          <a:ext cx="1149867" cy="771526"/>
        </a:xfrm>
        <a:prstGeom prst="rect">
          <a:avLst/>
        </a:prstGeom>
      </xdr:spPr>
    </xdr:pic>
    <xdr:clientData/>
  </xdr:twoCellAnchor>
  <xdr:twoCellAnchor editAs="oneCell">
    <xdr:from>
      <xdr:col>11</xdr:col>
      <xdr:colOff>895350</xdr:colOff>
      <xdr:row>1</xdr:row>
      <xdr:rowOff>99515</xdr:rowOff>
    </xdr:from>
    <xdr:to>
      <xdr:col>12</xdr:col>
      <xdr:colOff>895350</xdr:colOff>
      <xdr:row>5</xdr:row>
      <xdr:rowOff>64220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2FA2105-2AB2-46FC-8914-E0D0B9169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0" y="290015"/>
          <a:ext cx="962025" cy="86005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152400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1181100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97306</xdr:colOff>
      <xdr:row>2</xdr:row>
      <xdr:rowOff>123824</xdr:rowOff>
    </xdr:from>
    <xdr:ext cx="7282563" cy="381971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78556" y="638174"/>
          <a:ext cx="7282563" cy="381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45720" tIns="41148" rIns="45720" bIns="0" anchor="ctr" upright="1">
          <a:noAutofit/>
        </a:bodyPr>
        <a:lstStyle/>
        <a:p>
          <a:pPr algn="ctr" rtl="0">
            <a:defRPr sz="1000"/>
          </a:pPr>
          <a:r>
            <a:rPr lang="pt-BR" sz="2400" b="1" i="0" u="none" strike="noStrike" baseline="0">
              <a:solidFill>
                <a:srgbClr val="04C4AD"/>
              </a:solidFill>
              <a:latin typeface="+mn-lt"/>
            </a:rPr>
            <a:t>TABELA DE PREÇOS PARTICULAR 2023</a:t>
          </a:r>
        </a:p>
      </xdr:txBody>
    </xdr:sp>
    <xdr:clientData/>
  </xdr:oneCellAnchor>
  <xdr:twoCellAnchor editAs="oneCell">
    <xdr:from>
      <xdr:col>1</xdr:col>
      <xdr:colOff>431283</xdr:colOff>
      <xdr:row>1</xdr:row>
      <xdr:rowOff>66674</xdr:rowOff>
    </xdr:from>
    <xdr:to>
      <xdr:col>3</xdr:col>
      <xdr:colOff>828675</xdr:colOff>
      <xdr:row>5</xdr:row>
      <xdr:rowOff>71751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883" y="257174"/>
          <a:ext cx="1092717" cy="900427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247650</xdr:colOff>
      <xdr:row>1</xdr:row>
      <xdr:rowOff>25906</xdr:rowOff>
    </xdr:from>
    <xdr:to>
      <xdr:col>12</xdr:col>
      <xdr:colOff>485775</xdr:colOff>
      <xdr:row>5</xdr:row>
      <xdr:rowOff>92796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84DE49-4A40-44B8-BB4B-32034B1E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575" y="216406"/>
          <a:ext cx="1076325" cy="96224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152400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1181100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754531</xdr:colOff>
      <xdr:row>3</xdr:row>
      <xdr:rowOff>21891</xdr:rowOff>
    </xdr:from>
    <xdr:ext cx="7282563" cy="41723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2326156" y="726741"/>
          <a:ext cx="7282563" cy="417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45720" tIns="41148" rIns="45720" bIns="0" anchor="ctr" upright="1">
          <a:spAutoFit/>
        </a:bodyPr>
        <a:lstStyle/>
        <a:p>
          <a:pPr algn="ctr" rtl="0">
            <a:defRPr sz="1000"/>
          </a:pPr>
          <a:r>
            <a:rPr lang="pt-BR" sz="2400" b="1" i="0" u="none" strike="noStrike" baseline="0">
              <a:solidFill>
                <a:srgbClr val="04C4AD"/>
              </a:solidFill>
              <a:latin typeface="+mn-lt"/>
            </a:rPr>
            <a:t>TABELA DE PREÇOS PARTICULAR 2023</a:t>
          </a:r>
        </a:p>
      </xdr:txBody>
    </xdr:sp>
    <xdr:clientData/>
  </xdr:oneCellAnchor>
  <xdr:twoCellAnchor editAs="oneCell">
    <xdr:from>
      <xdr:col>1</xdr:col>
      <xdr:colOff>431283</xdr:colOff>
      <xdr:row>1</xdr:row>
      <xdr:rowOff>66674</xdr:rowOff>
    </xdr:from>
    <xdr:to>
      <xdr:col>3</xdr:col>
      <xdr:colOff>600075</xdr:colOff>
      <xdr:row>5</xdr:row>
      <xdr:rowOff>100714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883" y="257174"/>
          <a:ext cx="1130817" cy="929390"/>
        </a:xfrm>
        <a:prstGeom prst="rect">
          <a:avLst/>
        </a:prstGeom>
      </xdr:spPr>
    </xdr:pic>
    <xdr:clientData/>
  </xdr:twoCellAnchor>
  <xdr:twoCellAnchor editAs="oneCell">
    <xdr:from>
      <xdr:col>10</xdr:col>
      <xdr:colOff>609600</xdr:colOff>
      <xdr:row>1</xdr:row>
      <xdr:rowOff>85725</xdr:rowOff>
    </xdr:from>
    <xdr:to>
      <xdr:col>11</xdr:col>
      <xdr:colOff>524278</xdr:colOff>
      <xdr:row>5</xdr:row>
      <xdr:rowOff>178521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9AE9A65-E118-4692-A92B-2BA507112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276225"/>
          <a:ext cx="1105303" cy="98814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152400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181100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1543050</xdr:colOff>
      <xdr:row>2</xdr:row>
      <xdr:rowOff>2841</xdr:rowOff>
    </xdr:from>
    <xdr:ext cx="6684544" cy="41723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3486150" y="517191"/>
          <a:ext cx="6684544" cy="417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45720" tIns="41148" rIns="45720" bIns="0" anchor="ctr" upright="1">
          <a:spAutoFit/>
        </a:bodyPr>
        <a:lstStyle/>
        <a:p>
          <a:pPr algn="ctr" rtl="0">
            <a:defRPr sz="1000"/>
          </a:pPr>
          <a:r>
            <a:rPr lang="pt-BR" sz="2400" b="1" i="0" u="none" strike="noStrike" baseline="0">
              <a:solidFill>
                <a:srgbClr val="04C4AD"/>
              </a:solidFill>
              <a:latin typeface="+mn-lt"/>
            </a:rPr>
            <a:t>TABELA DE PREÇOS PARTICULAR 2023</a:t>
          </a:r>
        </a:p>
      </xdr:txBody>
    </xdr:sp>
    <xdr:clientData/>
  </xdr:oneCellAnchor>
  <xdr:twoCellAnchor editAs="oneCell">
    <xdr:from>
      <xdr:col>1</xdr:col>
      <xdr:colOff>431283</xdr:colOff>
      <xdr:row>1</xdr:row>
      <xdr:rowOff>38100</xdr:rowOff>
    </xdr:from>
    <xdr:to>
      <xdr:col>4</xdr:col>
      <xdr:colOff>416427</xdr:colOff>
      <xdr:row>4</xdr:row>
      <xdr:rowOff>171450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883" y="228600"/>
          <a:ext cx="1318644" cy="838200"/>
        </a:xfrm>
        <a:prstGeom prst="rect">
          <a:avLst/>
        </a:prstGeom>
      </xdr:spPr>
    </xdr:pic>
    <xdr:clientData/>
  </xdr:twoCellAnchor>
  <xdr:oneCellAnchor>
    <xdr:from>
      <xdr:col>12</xdr:col>
      <xdr:colOff>523875</xdr:colOff>
      <xdr:row>1</xdr:row>
      <xdr:rowOff>0</xdr:rowOff>
    </xdr:from>
    <xdr:ext cx="1000125" cy="826220"/>
    <xdr:pic>
      <xdr:nvPicPr>
        <xdr:cNvPr id="6" name="Imagem 5">
          <a:extLst>
            <a:ext uri="{FF2B5EF4-FFF2-40B4-BE49-F238E27FC236}">
              <a16:creationId xmlns:a16="http://schemas.microsoft.com/office/drawing/2014/main" id="{CF4FDFB7-510A-4A74-9735-E44232217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575" y="190500"/>
          <a:ext cx="1000125" cy="82622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152400</xdr:rowOff>
    </xdr:from>
    <xdr:ext cx="184731" cy="2645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781050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571500</xdr:colOff>
      <xdr:row>1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F7CFE35-E81F-4A8D-A85E-EC4569ED36BF}"/>
            </a:ext>
          </a:extLst>
        </xdr:cNvPr>
        <xdr:cNvSpPr txBox="1"/>
      </xdr:nvSpPr>
      <xdr:spPr>
        <a:xfrm>
          <a:off x="1181100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135406</xdr:colOff>
      <xdr:row>2</xdr:row>
      <xdr:rowOff>183816</xdr:rowOff>
    </xdr:from>
    <xdr:ext cx="7282563" cy="41723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59B6C7-5F80-409E-BA86-65F0AF5EB4A6}"/>
            </a:ext>
          </a:extLst>
        </xdr:cNvPr>
        <xdr:cNvSpPr txBox="1">
          <a:spLocks noChangeArrowheads="1"/>
        </xdr:cNvSpPr>
      </xdr:nvSpPr>
      <xdr:spPr bwMode="auto">
        <a:xfrm>
          <a:off x="3154831" y="536241"/>
          <a:ext cx="7282563" cy="417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45720" tIns="41148" rIns="45720" bIns="0" anchor="ctr" upright="1">
          <a:spAutoFit/>
        </a:bodyPr>
        <a:lstStyle/>
        <a:p>
          <a:pPr algn="ctr" rtl="0">
            <a:defRPr sz="1000"/>
          </a:pPr>
          <a:r>
            <a:rPr lang="pt-BR" sz="2400" b="1" i="0" u="none" strike="noStrike" baseline="0">
              <a:solidFill>
                <a:srgbClr val="04C4AD"/>
              </a:solidFill>
              <a:latin typeface="+mn-lt"/>
            </a:rPr>
            <a:t>TABELA DE PREÇOS PARTICULAR 2023</a:t>
          </a:r>
        </a:p>
      </xdr:txBody>
    </xdr:sp>
    <xdr:clientData/>
  </xdr:oneCellAnchor>
  <xdr:twoCellAnchor editAs="oneCell">
    <xdr:from>
      <xdr:col>1</xdr:col>
      <xdr:colOff>431283</xdr:colOff>
      <xdr:row>1</xdr:row>
      <xdr:rowOff>0</xdr:rowOff>
    </xdr:from>
    <xdr:to>
      <xdr:col>1</xdr:col>
      <xdr:colOff>1333500</xdr:colOff>
      <xdr:row>5</xdr:row>
      <xdr:rowOff>157550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117201E-0EAB-4D59-B253-216D5C7E9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33" y="1504949"/>
          <a:ext cx="902217" cy="1110050"/>
        </a:xfrm>
        <a:prstGeom prst="rect">
          <a:avLst/>
        </a:prstGeom>
      </xdr:spPr>
    </xdr:pic>
    <xdr:clientData/>
  </xdr:twoCellAnchor>
  <xdr:twoCellAnchor editAs="oneCell">
    <xdr:from>
      <xdr:col>9</xdr:col>
      <xdr:colOff>1133475</xdr:colOff>
      <xdr:row>1</xdr:row>
      <xdr:rowOff>80666</xdr:rowOff>
    </xdr:from>
    <xdr:to>
      <xdr:col>11</xdr:col>
      <xdr:colOff>47625</xdr:colOff>
      <xdr:row>4</xdr:row>
      <xdr:rowOff>112400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19803A7-6298-48AF-A72E-B5859203F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7075" y="242591"/>
          <a:ext cx="1057275" cy="7937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8</xdr:row>
      <xdr:rowOff>38100</xdr:rowOff>
    </xdr:from>
    <xdr:to>
      <xdr:col>12</xdr:col>
      <xdr:colOff>47625</xdr:colOff>
      <xdr:row>8</xdr:row>
      <xdr:rowOff>247650</xdr:rowOff>
    </xdr:to>
    <xdr:sp macro="" textlink="">
      <xdr:nvSpPr>
        <xdr:cNvPr id="5694" name="AutoShape 4">
          <a:hlinkClick xmlns:r="http://schemas.openxmlformats.org/officeDocument/2006/relationships" r:id="rId1" tooltip="VOLTAR A TELA INICIAL"/>
          <a:extLst>
            <a:ext uri="{FF2B5EF4-FFF2-40B4-BE49-F238E27FC236}">
              <a16:creationId xmlns:a16="http://schemas.microsoft.com/office/drawing/2014/main" id="{00000000-0008-0000-0400-00003E160000}"/>
            </a:ext>
          </a:extLst>
        </xdr:cNvPr>
        <xdr:cNvSpPr>
          <a:spLocks noChangeArrowheads="1"/>
        </xdr:cNvSpPr>
      </xdr:nvSpPr>
      <xdr:spPr bwMode="auto">
        <a:xfrm flipH="1">
          <a:off x="9610725" y="361950"/>
          <a:ext cx="609600" cy="209550"/>
        </a:xfrm>
        <a:custGeom>
          <a:avLst/>
          <a:gdLst>
            <a:gd name="T0" fmla="*/ 2147483646 w 21600"/>
            <a:gd name="T1" fmla="*/ 0 h 21600"/>
            <a:gd name="T2" fmla="*/ 0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17375E"/>
        </a:solidFill>
        <a:ln w="9525">
          <a:solidFill>
            <a:srgbClr val="F2F2F2">
              <a:alpha val="50980"/>
            </a:srgbClr>
          </a:solidFill>
          <a:miter lim="800000"/>
          <a:headEnd/>
          <a:tailEnd/>
        </a:ln>
      </xdr:spPr>
    </xdr:sp>
    <xdr:clientData/>
  </xdr:twoCellAnchor>
  <xdr:oneCellAnchor>
    <xdr:from>
      <xdr:col>1</xdr:col>
      <xdr:colOff>571500</xdr:colOff>
      <xdr:row>0</xdr:row>
      <xdr:rowOff>152400</xdr:rowOff>
    </xdr:from>
    <xdr:ext cx="184731" cy="26456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857250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297331</xdr:colOff>
      <xdr:row>2</xdr:row>
      <xdr:rowOff>59991</xdr:rowOff>
    </xdr:from>
    <xdr:ext cx="7282563" cy="41723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107081" y="574341"/>
          <a:ext cx="7282563" cy="417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45720" tIns="41148" rIns="45720" bIns="0" anchor="ctr" upright="1">
          <a:spAutoFit/>
        </a:bodyPr>
        <a:lstStyle/>
        <a:p>
          <a:pPr algn="ctr" rtl="0">
            <a:defRPr sz="1000"/>
          </a:pPr>
          <a:r>
            <a:rPr lang="pt-BR" sz="2400" b="1" i="0" u="none" strike="noStrike" baseline="0">
              <a:solidFill>
                <a:srgbClr val="04C4AD"/>
              </a:solidFill>
              <a:latin typeface="+mn-lt"/>
            </a:rPr>
            <a:t>TABELA DE PREÇOS PARTICULAR 2023</a:t>
          </a:r>
        </a:p>
      </xdr:txBody>
    </xdr:sp>
    <xdr:clientData/>
  </xdr:oneCellAnchor>
  <xdr:twoCellAnchor editAs="oneCell">
    <xdr:from>
      <xdr:col>1</xdr:col>
      <xdr:colOff>431283</xdr:colOff>
      <xdr:row>1</xdr:row>
      <xdr:rowOff>66674</xdr:rowOff>
    </xdr:from>
    <xdr:to>
      <xdr:col>3</xdr:col>
      <xdr:colOff>314325</xdr:colOff>
      <xdr:row>4</xdr:row>
      <xdr:rowOff>227813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883" y="257174"/>
          <a:ext cx="1083192" cy="865989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171450</xdr:colOff>
      <xdr:row>1</xdr:row>
      <xdr:rowOff>166279</xdr:rowOff>
    </xdr:from>
    <xdr:to>
      <xdr:col>11</xdr:col>
      <xdr:colOff>619125</xdr:colOff>
      <xdr:row>4</xdr:row>
      <xdr:rowOff>369575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03CF80-1050-44B7-A419-982F734F3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356779"/>
          <a:ext cx="1209675" cy="908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152400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181100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849781</xdr:colOff>
      <xdr:row>2</xdr:row>
      <xdr:rowOff>164766</xdr:rowOff>
    </xdr:from>
    <xdr:ext cx="7282563" cy="41723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3735856" y="679116"/>
          <a:ext cx="7282563" cy="417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45720" tIns="41148" rIns="45720" bIns="0" anchor="ctr" upright="1">
          <a:spAutoFit/>
        </a:bodyPr>
        <a:lstStyle/>
        <a:p>
          <a:pPr algn="ctr" rtl="0">
            <a:defRPr sz="1000"/>
          </a:pPr>
          <a:r>
            <a:rPr lang="pt-BR" sz="2400" b="1" i="0" u="none" strike="noStrike" baseline="0">
              <a:solidFill>
                <a:srgbClr val="04C4AD"/>
              </a:solidFill>
              <a:latin typeface="+mn-lt"/>
            </a:rPr>
            <a:t>             TABELA DE PREÇOS PARTICULAR 2023</a:t>
          </a:r>
        </a:p>
      </xdr:txBody>
    </xdr:sp>
    <xdr:clientData/>
  </xdr:oneCellAnchor>
  <xdr:twoCellAnchor editAs="oneCell">
    <xdr:from>
      <xdr:col>1</xdr:col>
      <xdr:colOff>431283</xdr:colOff>
      <xdr:row>1</xdr:row>
      <xdr:rowOff>66674</xdr:rowOff>
    </xdr:from>
    <xdr:to>
      <xdr:col>3</xdr:col>
      <xdr:colOff>314325</xdr:colOff>
      <xdr:row>4</xdr:row>
      <xdr:rowOff>189713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883" y="257174"/>
          <a:ext cx="1083192" cy="865989"/>
        </a:xfrm>
        <a:prstGeom prst="rect">
          <a:avLst/>
        </a:prstGeom>
      </xdr:spPr>
    </xdr:pic>
    <xdr:clientData/>
  </xdr:twoCellAnchor>
  <xdr:twoCellAnchor editAs="oneCell">
    <xdr:from>
      <xdr:col>10</xdr:col>
      <xdr:colOff>1000125</xdr:colOff>
      <xdr:row>1</xdr:row>
      <xdr:rowOff>104775</xdr:rowOff>
    </xdr:from>
    <xdr:to>
      <xdr:col>12</xdr:col>
      <xdr:colOff>119987</xdr:colOff>
      <xdr:row>5</xdr:row>
      <xdr:rowOff>17150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9C4DF13-6629-4E50-8200-ED6563D7C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295275"/>
          <a:ext cx="1329662" cy="998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152400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181100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571500</xdr:colOff>
      <xdr:row>0</xdr:row>
      <xdr:rowOff>152400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181100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364006</xdr:colOff>
      <xdr:row>1</xdr:row>
      <xdr:rowOff>155241</xdr:rowOff>
    </xdr:from>
    <xdr:ext cx="7282563" cy="41723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3002431" y="345741"/>
          <a:ext cx="7282563" cy="417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45720" tIns="41148" rIns="45720" bIns="0" anchor="ctr" upright="1">
          <a:spAutoFit/>
        </a:bodyPr>
        <a:lstStyle/>
        <a:p>
          <a:pPr algn="ctr" rtl="0">
            <a:defRPr sz="1000"/>
          </a:pPr>
          <a:r>
            <a:rPr lang="pt-BR" sz="2400" b="1" i="0" u="none" strike="noStrike" baseline="0">
              <a:solidFill>
                <a:srgbClr val="04C4AD"/>
              </a:solidFill>
              <a:latin typeface="+mn-lt"/>
            </a:rPr>
            <a:t>TABELA DE PREÇOS PARTICULAR 2023</a:t>
          </a:r>
        </a:p>
      </xdr:txBody>
    </xdr:sp>
    <xdr:clientData/>
  </xdr:oneCellAnchor>
  <xdr:twoCellAnchor editAs="oneCell">
    <xdr:from>
      <xdr:col>1</xdr:col>
      <xdr:colOff>517007</xdr:colOff>
      <xdr:row>0</xdr:row>
      <xdr:rowOff>190499</xdr:rowOff>
    </xdr:from>
    <xdr:to>
      <xdr:col>3</xdr:col>
      <xdr:colOff>1038225</xdr:colOff>
      <xdr:row>4</xdr:row>
      <xdr:rowOff>315281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607" y="190499"/>
          <a:ext cx="1302268" cy="1020132"/>
        </a:xfrm>
        <a:prstGeom prst="rect">
          <a:avLst/>
        </a:prstGeom>
      </xdr:spPr>
    </xdr:pic>
    <xdr:clientData/>
  </xdr:twoCellAnchor>
  <xdr:twoCellAnchor editAs="oneCell">
    <xdr:from>
      <xdr:col>10</xdr:col>
      <xdr:colOff>595155</xdr:colOff>
      <xdr:row>1</xdr:row>
      <xdr:rowOff>38100</xdr:rowOff>
    </xdr:from>
    <xdr:to>
      <xdr:col>11</xdr:col>
      <xdr:colOff>610367</xdr:colOff>
      <xdr:row>4</xdr:row>
      <xdr:rowOff>331475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FB748434-3559-EAAA-B2BE-6A64F0DA5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705" y="228600"/>
          <a:ext cx="1329662" cy="998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152400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181100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571500</xdr:colOff>
      <xdr:row>0</xdr:row>
      <xdr:rowOff>152400</xdr:rowOff>
    </xdr:from>
    <xdr:ext cx="184731" cy="2645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5FB25406-6E63-4AA4-A226-04337D7C591A}"/>
            </a:ext>
          </a:extLst>
        </xdr:cNvPr>
        <xdr:cNvSpPr txBox="1"/>
      </xdr:nvSpPr>
      <xdr:spPr>
        <a:xfrm>
          <a:off x="1181100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571500</xdr:colOff>
      <xdr:row>0</xdr:row>
      <xdr:rowOff>152400</xdr:rowOff>
    </xdr:from>
    <xdr:ext cx="184731" cy="264560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9422DF9C-4796-41CB-9CA5-C54854C19B3C}"/>
            </a:ext>
          </a:extLst>
        </xdr:cNvPr>
        <xdr:cNvSpPr txBox="1"/>
      </xdr:nvSpPr>
      <xdr:spPr>
        <a:xfrm>
          <a:off x="1181100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478306</xdr:colOff>
      <xdr:row>2</xdr:row>
      <xdr:rowOff>174291</xdr:rowOff>
    </xdr:from>
    <xdr:ext cx="7282563" cy="41723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8E022E0B-500D-467D-872E-28C14448F973}"/>
            </a:ext>
          </a:extLst>
        </xdr:cNvPr>
        <xdr:cNvSpPr txBox="1">
          <a:spLocks noChangeArrowheads="1"/>
        </xdr:cNvSpPr>
      </xdr:nvSpPr>
      <xdr:spPr bwMode="auto">
        <a:xfrm>
          <a:off x="2469031" y="688641"/>
          <a:ext cx="7282563" cy="417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45720" tIns="41148" rIns="45720" bIns="0" anchor="ctr" upright="1">
          <a:spAutoFit/>
        </a:bodyPr>
        <a:lstStyle/>
        <a:p>
          <a:pPr algn="ctr" rtl="0">
            <a:defRPr sz="1000"/>
          </a:pPr>
          <a:r>
            <a:rPr lang="pt-BR" sz="2400" b="1" i="0" u="none" strike="noStrike" baseline="0">
              <a:solidFill>
                <a:srgbClr val="04C4AD"/>
              </a:solidFill>
              <a:latin typeface="+mn-lt"/>
            </a:rPr>
            <a:t>TABELA DE PREÇOS PARTICULAR 2023</a:t>
          </a:r>
        </a:p>
      </xdr:txBody>
    </xdr:sp>
    <xdr:clientData/>
  </xdr:oneCellAnchor>
  <xdr:twoCellAnchor editAs="oneCell">
    <xdr:from>
      <xdr:col>1</xdr:col>
      <xdr:colOff>555106</xdr:colOff>
      <xdr:row>0</xdr:row>
      <xdr:rowOff>147707</xdr:rowOff>
    </xdr:from>
    <xdr:to>
      <xdr:col>3</xdr:col>
      <xdr:colOff>238124</xdr:colOff>
      <xdr:row>4</xdr:row>
      <xdr:rowOff>241620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C36E2E6C-679F-401C-8810-25896634F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706" y="147707"/>
          <a:ext cx="1064143" cy="989263"/>
        </a:xfrm>
        <a:prstGeom prst="rect">
          <a:avLst/>
        </a:prstGeom>
      </xdr:spPr>
    </xdr:pic>
    <xdr:clientData/>
  </xdr:twoCellAnchor>
  <xdr:twoCellAnchor editAs="oneCell">
    <xdr:from>
      <xdr:col>10</xdr:col>
      <xdr:colOff>1376205</xdr:colOff>
      <xdr:row>1</xdr:row>
      <xdr:rowOff>26015</xdr:rowOff>
    </xdr:from>
    <xdr:to>
      <xdr:col>12</xdr:col>
      <xdr:colOff>285750</xdr:colOff>
      <xdr:row>4</xdr:row>
      <xdr:rowOff>298309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89373D57-7DEF-4FD4-BE8A-B1A8DDE5E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3980" y="216515"/>
          <a:ext cx="1128870" cy="9771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36</xdr:row>
      <xdr:rowOff>0</xdr:rowOff>
    </xdr:from>
    <xdr:ext cx="10298206" cy="7283823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705D0ED-E1FD-4656-A0B9-79AB7A0164C7}"/>
            </a:ext>
          </a:extLst>
        </xdr:cNvPr>
        <xdr:cNvSpPr txBox="1"/>
      </xdr:nvSpPr>
      <xdr:spPr>
        <a:xfrm>
          <a:off x="19326225" y="24298275"/>
          <a:ext cx="10298206" cy="72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t-BR" sz="1100"/>
        </a:p>
      </xdr:txBody>
    </xdr:sp>
    <xdr:clientData/>
  </xdr:oneCellAnchor>
  <xdr:twoCellAnchor>
    <xdr:from>
      <xdr:col>1</xdr:col>
      <xdr:colOff>0</xdr:colOff>
      <xdr:row>37</xdr:row>
      <xdr:rowOff>11905</xdr:rowOff>
    </xdr:from>
    <xdr:to>
      <xdr:col>11</xdr:col>
      <xdr:colOff>0</xdr:colOff>
      <xdr:row>78</xdr:row>
      <xdr:rowOff>190499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B0E85C8F-1FE4-49E6-9235-76E770FE9D2A}"/>
            </a:ext>
          </a:extLst>
        </xdr:cNvPr>
        <xdr:cNvSpPr txBox="1"/>
      </xdr:nvSpPr>
      <xdr:spPr>
        <a:xfrm>
          <a:off x="85725" y="24957880"/>
          <a:ext cx="19240500" cy="2673429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100" b="1" i="0" u="none" strike="noStrike" kern="0" cap="none" spc="0" normalizeH="0" baseline="0" noProof="0">
            <a:ln>
              <a:noFill/>
            </a:ln>
            <a:solidFill>
              <a:srgbClr val="1F497D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100" b="1" i="0" u="none" strike="noStrike" kern="0" cap="none" spc="0" normalizeH="0" baseline="0" noProof="0">
            <a:ln>
              <a:noFill/>
            </a:ln>
            <a:solidFill>
              <a:srgbClr val="1F497D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Prezado(a) Dr(a) !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Disponibilizamos aqui nossa  tabela de Preços Padronizados do Hospital Vera Cruz 2023 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Objetivo é oferecer melhores condições e formas de pagamento ao seu paciente, e com isso  tornar mais simples o seu dia-a-dia.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As informações apresentadas são de uso restrito aos médicos do Corpo Clinico do Hospital Vera Cruz, sendo vetada a distribuição a terceiros.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O Vera cruz Hospital, pode suspender, sem prévio aviso, temporária ou definitivamente, a aplicação dos valores  e/ou alterar as premissas aqui aprsentadas.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sng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Instruções Gerais e Composição dos pacotes: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No valor deste orçamento (Pacote) está previsto diária hospitalar (exceto para procedimento ambulatorial, onde a alta ocorre logo apos recuperação do centro cirurgico), taxas de centro cirúrgico, material/medicação uso comum habitual ao procedimento.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- Na hipótese de ocorrer alta antes dos dias previstos no pacote, não será feita devolução da diferença, uma vez que trata-se de pacote.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O tempo cirúrgico é contado pelo tempo total de sala. Excedido o tempo estipulado será cobrada uma taxa adicional de  R$ 1.200,00 por hora para hospital e R$ 480,00 para anestesista.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A diária hospitalar vence às 10:00 horas do dia subsequente à internação, independente do horário da internação. Para procedimento com previsão de Day Hospital a alta deverá ser até às 19:00 horas. Para procedimento ambulatorial não está previsto internação.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Quando ocorrer complicações ou intercorrências não habituais, tão quais diárias ou procedimentos adicionais, este orçamento perde a validade e a conta hospitalar será cobrado de forma aberta, ou seja, na totalidade dos gastos e de acordo com a Tabela Particular Vigente (formato fee for service).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Na hipótese de haver utilização de materiais excedentes aos previstos ou não inclusos no pacote, será cobrado adicionalmente no fechamento da conta hospitalar.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Os valores dos Preços Padronizados são válido para procedimentos Eletivos, perdendo a validade para internação de urgência.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Procedimentos Associados (todos particulares): obedecem ao seguinte critério: 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Será cobrado 100% do procedimento de maior valor + 50% do 2º Procedimento de maior valor + 30%  do 3º Procedimento e demais que ocorrer.</a:t>
          </a:r>
        </a:p>
        <a:p>
          <a:pPr marL="457200" marR="0" lvl="2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Tempo sala:  será disponibilizado: 100% do tempo para o procedimento de maior valor e 50% do tempo para os demais procedimentos (no fechamento da conta, se necessário, </a:t>
          </a:r>
          <a:r>
            <a:rPr kumimoji="0" lang="pt-BR" sz="1200" b="0" i="0" u="sng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liberado tolerância 30 minutos sem cobrança adicional</a:t>
          </a:r>
          <a:r>
            <a:rPr kumimoji="0" lang="pt-B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).</a:t>
          </a:r>
        </a:p>
        <a:p>
          <a:pPr marL="457200" marR="0" lvl="2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As diárias </a:t>
          </a:r>
          <a:r>
            <a:rPr kumimoji="0" lang="pt-BR" sz="1200" b="0" i="0" u="sng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não</a:t>
          </a:r>
          <a:r>
            <a:rPr kumimoji="0" lang="pt-B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 são somadas, sendo disponibilizada a de maior periodo dentre os procedimentos do orçamento.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Cirurgia associada pelo convênio em carater de internação: </a:t>
          </a:r>
        </a:p>
        <a:p>
          <a:pPr marL="457200" marR="0" lvl="2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O paciente que  internar pelo convênio para realizar outro procedimento, desde que previamente autorizado, e realizar outro procedimento dessa tabela particular no mesmo ato cirúrgico, terá desconto de 50% correspondente a diária do Apartamento da tabela particular em vigor. Obs.: Nesse caso considere o valor do procedimento "internado". O Paciente ficará na acomodação de direito do plano (Apartamento ou Leito  respeitando a regra contratual com o convênio).</a:t>
          </a:r>
        </a:p>
        <a:p>
          <a:pPr marL="457200" marR="0" lvl="2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Importante:</a:t>
          </a:r>
          <a:r>
            <a:rPr kumimoji="0" lang="pt-BR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 Para procedimento ambulatorial, não heverá tal desconto.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Exclusões:</a:t>
          </a: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Não estão inclusos Internações em acomodações de Unidade Semi-Intensiva e UTI, exceto se solicitados previamente e já previstos nesse orçamento.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Não estão inclusos Órteses, próteses e materiais especiais, exceto se solicitado previamente e já previstos nesse orçamento. Importante: - Se houver a previsão de uso de Materiais Especiais, estes não podem ser negociados direto com o fornecedor, devem ser disponibilizados via Hospital.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No orçamento NÃO estão inclusos: Honorários médicos (*), sangue e hemoderivados, exames ou procedimentos pré-operatórios, exames complementares de diagnose e terapia de qualquer natureza, fisioterapia, anátomo patológico, nutrição, medicações de alto custo, equipe multodiciplinar e outros profissionais que possam ser solicitados. 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Intercorrências clinicas ou cirurgicas.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(*) Os honorários médicos deverão ser combinados/negociados diretamente com equipe médica, exceto os honorários que eventualmete já contemplados nesse orçamento. 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Lembrando que os honorários do anestesista correspondem a 40% do valor do cirurgião (exceto cirurgia plastica, devendo seguir o "simulador de orçamento") e devem ser pago separadamente do valor hospitalar e diretamente na Secretaria do Hospital. Os demais serviços, se houver, devem ser pagos adicionalmente de acordo com valores e forma de pagamento apresentado pelos respectivos serviços.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Intercorrências: 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Retorno ao centro cirurgico, dentro da mesma internação, para pequenas intercorrências (ex.: drenagem hematoma) desde que até 01 hora de sala: O valor complementar será considerado + 80% do valor do Orçamento do procedimento inicial, desde que paciente não necessite de diárias adicionais. Caso necessite de diária complementar, o valor será cobrado de acordo com tabela hospitalar vigente - tabela conta aberta ( diárias , mat/med, sadt, etc ).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Retorno ao centro cirurgico, em até 24h  após alta hospitalar, para reabordagem de pequenas intercorrêcnias (ex.: drenagem hematoma) desde que até 01 hora de sala: O valor complementar será considerado + 100% do valor do Orçamento do procedimento inicial. Caso necessite de diária complementar, o valor será cobrado de acordo com tabela hospitalar vigente - tabela conta aberta ( diárias , mat/med, sadt, etc ).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   </a:t>
          </a: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</a:t>
          </a:r>
          <a:r>
            <a:rPr kumimoji="0" lang="pt-BR" sz="1200" b="1" i="0" u="sng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 Instruções Fluxo Financeiras: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O paciente/responsável deve entrar em contato com a Tesouraria do Hospital, para alinhar as trataivas financeiras antes da internação do paciente.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Tesouraria do Hospital através do E-mail: </a:t>
          </a:r>
          <a:r>
            <a:rPr kumimoji="0" lang="pt-BR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secretaria@hospitalveracruz.com.br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 ou Telefone: 019-3734-3527 ou 019-3734-3145 / Whatsap: 019-99872-2634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Forma de pagamento:  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457200" marR="0" lvl="3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Valor Hospitalar: 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A ser pago em até 03 dias antes da internação , através de deposito bancário ou Cartão de crédito (em até 03x para orçamento de até R$ 6.000,00 / até 4x para orçamento de R$ 6.000,01 a R$ 16.000,00 / até 5x para orçamento de R$ 16.000,01 a R$ 22.000,00 / até 6x para orçamento R$ de 22.000,01 até R$ 30.000,00 / até 8 x para orçamentos acima de 30.000,00).</a:t>
          </a:r>
        </a:p>
        <a:p>
          <a:pPr marL="457200" marR="0" lvl="3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Obs.: O acerto final, correspondente aos gastos adicionais, se houver, deverá ser feito mediante pagamento complementar no momento do fechamento da conta hospitalar.</a:t>
          </a:r>
        </a:p>
        <a:p>
          <a:pPr marL="457200" marR="0" lvl="3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Somente para procedimento ambulatorial, está autorizado o pagamento após liberação do paciente.</a:t>
          </a:r>
        </a:p>
        <a:p>
          <a:pPr marL="457200" marR="0" lvl="3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457200" marR="0" lvl="3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Valor do Anestesista: 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A ser pago separadamente, antes da internação, através de cartão de credito ou depósito bancário.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Demais Orientações Gerais:</a:t>
          </a:r>
          <a:endParaRPr kumimoji="0" lang="pt-BR" sz="12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A Nota Fiscal será emitida, após a alta, somente em nome do paciente OU do responsável que assinar contrato de internação ou atendimento.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Não será possível o pagamento com cheque (exceto se houver autorização prévia da secretaria do hospital)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 Honorários médicos, serviços terceirizados, exames de diagnóstico ,  não estão inclusos no orçamento, devendo ser pagos separadamente à conta hospitalar, sedo que a Secretaria passará as instruções de valores e pagamentos.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 Nos orçamentos na modalidade de Pacote, não é disponibilizado a descriminação da conta detalhada, apenas é disponibilizado a nota fiscal.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Caso paciente/responsável tenha dúvidas e queira falar com o Hospital, entrar em contato com a Tesouraria do Hospital através do E-mail: </a:t>
          </a:r>
          <a:r>
            <a:rPr kumimoji="0" lang="pt-BR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  <a:hlinkClick xmlns:r="http://schemas.openxmlformats.org/officeDocument/2006/relationships" r:id=""/>
            </a:rPr>
            <a:t>secretaria@hospitalveracruz.com.br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 ou Telefone: 019-3734-3527 ou 019-3734-3145 / Whatsap: 019-99872-2634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sng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Nosso Principais Canais de Acesso: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Orcamento particular: </a:t>
          </a: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Exclusivo para Médicos e suas respectivas Secretárias, para tratar de assuntos referente à Orçamento Hospitalar Particular Eletivo são:  </a:t>
          </a: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E-mail: 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  <a:hlinkClick xmlns:r="http://schemas.openxmlformats.org/officeDocument/2006/relationships" r:id=""/>
            </a:rPr>
            <a:t>orcamentoparticular@hospitalveracruz.com.br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/ Fone: 019 - 3734-3258   /  WhatsApp: 019 - 9.9686-2162</a:t>
          </a: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Tesouraria</a:t>
          </a: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Acesso para paciente obter informações financeiras de orçamentos já solicitados) ou orçamento para internação de urgência (paciente via PS ou transferência hospitalar).</a:t>
          </a:r>
        </a:p>
        <a:p>
          <a:pPr eaLnBrk="1" fontAlgn="auto" latinLnBrk="0" hangingPunct="1"/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E-mail: secretaria@hospitalveracruz.com.br / Fone 3734-3145 / 3734-3527 / 3734-3144 </a:t>
          </a:r>
          <a:r>
            <a:rPr kumimoji="0" lang="pt-B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/ Whatsap: 019-99872-2634</a:t>
          </a:r>
        </a:p>
        <a:p>
          <a:r>
            <a:rPr lang="pt-BR" sz="1100" b="0" i="0" baseline="0">
              <a:effectLst/>
              <a:latin typeface="+mn-lt"/>
              <a:ea typeface="+mn-ea"/>
              <a:cs typeface="+mn-cs"/>
            </a:rPr>
            <a:t> </a:t>
          </a:r>
          <a:endParaRPr kumimoji="0" lang="pt-B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Central de agendamento cirúrgico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: </a:t>
          </a: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Link para dar entrada de processo de agendamento/autorização: 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  <a:hlinkClick xmlns:r="http://schemas.openxmlformats.org/officeDocument/2006/relationships" r:id=""/>
            </a:rPr>
            <a:t>https://www.portalfinx.com.br/</a:t>
          </a: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Duvidas e solicitação de acesso ao Portal virtual: e-mail 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  <a:hlinkClick xmlns:r="http://schemas.openxmlformats.org/officeDocument/2006/relationships" r:id=""/>
            </a:rPr>
            <a:t>central.agendamento@hospitalveracruz.com.br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/ Fone: 3734-3220.</a:t>
          </a: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SAMM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</a:t>
          </a: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Serviço Atendimento Médico e Equipe Multidiciplinar (duvidas, sugestões, reclamações)</a:t>
          </a: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E-mail: 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  <a:hlinkClick xmlns:r="http://schemas.openxmlformats.org/officeDocument/2006/relationships" r:id=""/>
            </a:rPr>
            <a:t>atendimentomedico@hospitalveracruz.com.br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 / Fone 3734-3124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Conte conosco.</a:t>
          </a: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</a:b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Relacionamento de Mercado - Hospital Vera Cruz</a:t>
          </a: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</a:br>
          <a:br>
            <a:rPr kumimoji="0" lang="pt-BR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</a:br>
          <a:endParaRPr kumimoji="0" lang="pt-BR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</xdr:txBody>
    </xdr:sp>
    <xdr:clientData/>
  </xdr:twoCellAnchor>
  <xdr:oneCellAnchor>
    <xdr:from>
      <xdr:col>11</xdr:col>
      <xdr:colOff>0</xdr:colOff>
      <xdr:row>34</xdr:row>
      <xdr:rowOff>0</xdr:rowOff>
    </xdr:from>
    <xdr:ext cx="10298206" cy="7283823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4E39DC0-288F-4804-89C4-E72DE7102FD4}"/>
            </a:ext>
          </a:extLst>
        </xdr:cNvPr>
        <xdr:cNvSpPr txBox="1"/>
      </xdr:nvSpPr>
      <xdr:spPr>
        <a:xfrm>
          <a:off x="20288250" y="16173450"/>
          <a:ext cx="10298206" cy="72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t-BR" sz="1100"/>
        </a:p>
      </xdr:txBody>
    </xdr:sp>
    <xdr:clientData/>
  </xdr:oneCellAnchor>
  <xdr:twoCellAnchor>
    <xdr:from>
      <xdr:col>1</xdr:col>
      <xdr:colOff>0</xdr:colOff>
      <xdr:row>34</xdr:row>
      <xdr:rowOff>428626</xdr:rowOff>
    </xdr:from>
    <xdr:to>
      <xdr:col>11</xdr:col>
      <xdr:colOff>0</xdr:colOff>
      <xdr:row>78</xdr:row>
      <xdr:rowOff>381000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CA592D66-A99B-428E-B3C4-2BF2F6E2D618}"/>
            </a:ext>
          </a:extLst>
        </xdr:cNvPr>
        <xdr:cNvSpPr txBox="1"/>
      </xdr:nvSpPr>
      <xdr:spPr>
        <a:xfrm>
          <a:off x="828675" y="16602076"/>
          <a:ext cx="19459575" cy="1923097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100" b="1" i="0" u="none" strike="noStrike" kern="0" cap="none" spc="0" normalizeH="0" baseline="0" noProof="0">
            <a:ln>
              <a:noFill/>
            </a:ln>
            <a:solidFill>
              <a:srgbClr val="1F497D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100" b="1" i="0" u="none" strike="noStrike" kern="0" cap="none" spc="0" normalizeH="0" baseline="0" noProof="0">
            <a:ln>
              <a:noFill/>
            </a:ln>
            <a:solidFill>
              <a:srgbClr val="1F497D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400" b="1" i="0" u="none" strike="noStrike" kern="0" cap="none" spc="0" normalizeH="0" baseline="0" noProof="0">
              <a:ln>
                <a:noFill/>
              </a:ln>
              <a:solidFill>
                <a:srgbClr val="33DDCD"/>
              </a:solidFill>
              <a:effectLst/>
              <a:uLnTx/>
              <a:uFillTx/>
              <a:latin typeface="Comfortaa" pitchFamily="2" charset="0"/>
              <a:ea typeface="+mn-ea"/>
              <a:cs typeface="+mn-cs"/>
            </a:rPr>
            <a:t>          </a:t>
          </a:r>
          <a:r>
            <a:rPr kumimoji="0" lang="pt-BR" sz="1400" b="1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Comfortaa" pitchFamily="2" charset="0"/>
              <a:ea typeface="+mn-ea"/>
              <a:cs typeface="+mn-cs"/>
            </a:rPr>
            <a:t>Prezado(a), Dr(a) !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  Disponibilizamos aqui nosso "Simulador de Orçamento" conforme tabela de preços padronizados da Casa de Saúde Junho/2023.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  As informações apresentadas são de uso restrito aos médicos do Corpo Clínico da Casa de Saúde, sendo vetada a distribuição a terceiros.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  A Casa de Saúde pode suspender, sem prévio aviso, temporária ou definitivamente, a aplicação dos valores  e/ou alterar as premissas aqui apresentadas.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sng" strike="noStrike" kern="0" cap="none" spc="0" normalizeH="0" baseline="0" noProof="0">
            <a:ln>
              <a:noFill/>
            </a:ln>
            <a:solidFill>
              <a:srgbClr val="00CCFF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rgbClr val="00CCFF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 </a:t>
          </a:r>
          <a:r>
            <a:rPr kumimoji="0" lang="pt-BR" sz="1200" b="1" i="0" u="sng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+mn-lt"/>
              <a:ea typeface="+mn-ea"/>
              <a:cs typeface="+mn-cs"/>
            </a:rPr>
            <a:t>Instruções Gerais e Composição dos Pacotes:</a:t>
          </a:r>
          <a:br>
            <a:rPr kumimoji="0" lang="pt-BR" sz="1200" b="1" i="0" u="sng" strike="noStrike" kern="0" cap="none" spc="0" normalizeH="0" baseline="0" noProof="0">
              <a:ln>
                <a:noFill/>
              </a:ln>
              <a:solidFill>
                <a:srgbClr val="00CCFF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No valor deste orçamento (pacote) está previsto diária hospitalar (exceto para procedimento ambulatorial, onde a alta ocorre logo após a  recuperação do centro cirúrgico), taxas de centro cirúrgico, material/medicação de uso comum habitual ao procedimento.</a:t>
          </a: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 - Na hipótese de ocorrer alta antes dos dias previstos no pacote, não será feita devolução da diferença, uma vez que se  trata de pacote.</a:t>
          </a: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O tempo cirúrgico é contado pelo tempo cirurgico. Excedido o tempo estipulado, será cobrada uma taxa adicional 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R$ 1.000,00 (Hospital) e R$ 440,00 (Anestesista) por hora.</a:t>
          </a: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chemeClr val="accent2">
                <a:lumMod val="7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A diária hospitalar vence às 10:00 horas do dia subsequente à internação, independente do horário da internação. Para procedimento com previsão de </a:t>
          </a:r>
          <a:r>
            <a:rPr kumimoji="0" lang="pt-BR" sz="12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Day Hospital 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 alta deverá ser até às 19:00 horas. Para procedimento ambulatorial não está previsto internação.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	- Para procedimento que a tabela prevê "Day Hospital" e  havendo a necessidade de "Pernoite" no hospital</a:t>
          </a:r>
          <a:r>
            <a:rPr kumimoji="0" lang="pt-BR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haverá cobrança adicional de 50% do valor da diária da tabela particular vigênte (para alta até as 10h do dia subsequente a internação) .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	- Para procedimentos com previsão "ambulatorial", caso necessite de internação day hospital, 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haverá acréscimo no valor total da diária hospitalar.</a:t>
          </a: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Quando ocorrer complicações ou intercorrências não habituais, tão quais diárias ou procedimentos adicionais, este orçamento perde a validade e a conta hospitalar será cobrado de forma aberta, ou seja, na totalidade dos gastos e de acordo com a Tabela Particular Vigente (formato</a:t>
          </a:r>
          <a:r>
            <a:rPr kumimoji="0" lang="pt-BR" sz="12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fee for servic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e).</a:t>
          </a: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Na hipótese de haver utilização de materiais excedentes aos previstos ou não inclusos no pacote, será cobrado adicionalmente no fechamento da conta hospitalar.</a:t>
          </a: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Os valores dos preços padronizados são válidos para procedimentos eletivos, perdendo a validade para internação de urgência.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Procedimentos Associados (todos particulares) obedecem ao seguinte critério: </a:t>
          </a: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914400" marR="0" lvl="3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Valor: Será cobrado 100% do procedimento de maior valor + 70% do 2º procedimento de maior valor + 50%  do 3º procedimento e aos demais que ocorrerem.</a:t>
          </a: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Cirurgia associada pelo convênio: O paciente que  internar pelo convênio para realizar outro procedimento, desde que previamente autorizado, e realizar outro procedimento dessa tabela particular no mesmo ato cirúrgico, terá desconto de 100% correspondente a diária do Apartamento/Enfermaria da tabela particular em vigor.</a:t>
          </a:r>
        </a:p>
        <a:p>
          <a:pPr marL="914400" marR="0" lvl="3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Obs.: Nesse caso, o Paciente ficará na acomodação de direito do plano (Apartamento ou Leito  respeitando a regra contratual com o convênio).</a:t>
          </a:r>
        </a:p>
        <a:p>
          <a:pPr marL="914400" marR="0" lvl="3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Importante: Para procedimento ambulatorial, não haverá desconto.</a:t>
          </a: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none" strike="noStrike" kern="0" cap="none" spc="0" normalizeH="0" baseline="0" noProof="0">
            <a:ln>
              <a:noFill/>
            </a:ln>
            <a:solidFill>
              <a:srgbClr val="00CCFF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sng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+mn-lt"/>
              <a:ea typeface="+mn-ea"/>
              <a:cs typeface="+mn-cs"/>
            </a:rPr>
            <a:t>Exclusões: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none" strike="noStrike" kern="0" cap="none" spc="0" normalizeH="0" baseline="0" noProof="0">
            <a:ln>
              <a:noFill/>
            </a:ln>
            <a:solidFill>
              <a:srgbClr val="00CCFF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Não estão inclusos internações em acomodações de Unidade Semi-Intensiva e UTI, exceto se solicitados previamente e já previstos nesse orçamento.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Não estão inclusos órteses, próteses e/ou  materiais especiais, exceto se solicitado previamente e já previstos nesse orçamento. Se houver a previsão de uso de materiais especiais, estes não podem ser negociados direto com o fornecedor, devem ser disponibilizados via hospital (exceto a protese de mama que deve ser negociada e paga ao fornecedor).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No orçamento NÃO estão inclusos: honorários médicos (*), sangue e hemoderivados, exames ou procedimentos pré-operatórios, exames complementares de diagnose e terapia de qualquer natureza, fisioterapia, anátomo patológico, nutrição, medicações de alto custo, equipe multidisciplinar e outros profissionais que possam ser solicitados. 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Intercorrências clinicas ou cirúrgicas.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(*) Os honorários médicos deverão ser combinados/negociados diretamente com a equipe médica, exceto os honorários que eventualmente já contemplados nesse orçamento. 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Lembrando que os honorários do anestesista  deve ser pago separadamente do valor hospitalar e diretamente na Secretaria do Hospital ou a Secretária da equipe anestesista. Os demais serviços, se houver, devem ser pagos adicionalmente de acordo com valores e forma de pagamento apresentado pelos respectivos serviços.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sng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+mn-lt"/>
              <a:ea typeface="+mn-ea"/>
              <a:cs typeface="+mn-cs"/>
            </a:rPr>
            <a:t>Instruções Fluxo Financeiras:</a:t>
          </a:r>
        </a:p>
        <a:p>
          <a:pPr marL="45720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 paciente/responsável deve entrar em contato com a Secretaria do Hospital para alinhar as tratativas financeiras antes da internação do paciente.</a:t>
          </a:r>
        </a:p>
        <a:p>
          <a:pPr marL="45720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Contato com a Secretaria do Hospital através do e-mail: </a:t>
          </a:r>
          <a:r>
            <a:rPr kumimoji="0" lang="pt-BR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secretaria@casadesaudecampinas.com.br 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ou telefones: (019) 3734-3539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 Forma de pagamento:  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914400" marR="0" lvl="4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Valor Hospitalar: 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 ser pago até 03 dias antes da internação , através de deposito bancário ou cartão de crédito (em até 03x para orçamento de até R$ 6.000,00 / até 4x para orçamento de R$ 6.000,01 a R$ 16.000,00 / até 5x para orçamento de R$ 16.000,01 a R$ 22.000,00 / até 6x para orçamento R$ de 22.000,01 até R$ 30.000,00 / até 8 x para orçamentos acima de 30.000,00).</a:t>
          </a:r>
        </a:p>
        <a:p>
          <a:pPr marL="457200" marR="0" lvl="3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914400" marR="0" lvl="4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Valor do Anestesista: 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 ser pago antes da internação e separadamente do valor  hospitalar, de acordo com instruções da Secretaria.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 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sng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+mn-lt"/>
              <a:ea typeface="+mn-ea"/>
              <a:cs typeface="+mn-cs"/>
            </a:rPr>
            <a:t>Em que momento pagar: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457200" marR="0" lvl="3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Procedimentos em caráter de internação: Depósito bancário em até 03 dias úteis antes da internação e mediante envio do comprovante bancário.</a:t>
          </a:r>
        </a:p>
        <a:p>
          <a:pPr marL="457200" marR="0" lvl="3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Obs.: Os acertos finais, correspondente aos gastos adicionais, se houver, deverão ser feitos e pagos no momento do fechamento da conta hospitalar.</a:t>
          </a:r>
        </a:p>
        <a:p>
          <a:pPr marL="457200" marR="0" lvl="3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457200" marR="0" lvl="3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Procedimento ambulatorial (sem internação): A pagar após procedimento na Secretaria do Hospital.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 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+mn-lt"/>
              <a:ea typeface="+mn-ea"/>
              <a:cs typeface="+mn-cs"/>
            </a:rPr>
            <a:t>Demais Orientações Gerais: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A Nota Fiscal será emitida, após a alta, somente em nome do paciente OU do responsável que assinar contrato de internação ou atendimento.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Não será possível o pagamento com cheque (exceto se houver autorização prévia da Secretaria do Hospital).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 Honorários médicos, serviços terceirizados e exames de diagnósticos não estão inclusos no orçamento, devendo ser pagos separadamente à conta hospitalar, sendo que a Secretaria passará as instruções de valores e pagamentos.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 Nos orçamentos na modalidade de Pacote, não é disponibilizado a descriminação da conta detalhada, apenas é disponibilizado a nota fiscal.</a:t>
          </a: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 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- Importante: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O valor do fechamento da conta hospitalar se dará de acordo com os precedimentos efetivamente realizados e serão considerados os valores da tabela da cirurgia plástica e aplicadas as normas acima, independente do que constar no pedido médico enviado no agendamento cirúrgico (plano cirúrgico) e/ou  do Simulador entregue ao cliente.</a:t>
          </a: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457200" marR="0" lvl="1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  Caso paciente/responsável tenha dúvidas e queira falar com o Hospital, favor entrar em contato com a Secretaria do Hospital através do e-mail: </a:t>
          </a:r>
          <a:r>
            <a:rPr kumimoji="0" lang="pt-BR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secretaria@casadesaudecampinas.com.br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ou  telefone: (019) 3734-3539 ou (019) 99205-5302.</a:t>
          </a: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914400" marR="0" lvl="2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914400" marR="0" lvl="2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sng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+mn-lt"/>
              <a:ea typeface="+mn-ea"/>
              <a:cs typeface="+mn-cs"/>
            </a:rPr>
            <a:t>Nossos principais canais de acesso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:</a:t>
          </a:r>
        </a:p>
        <a:p>
          <a:pPr marL="1371600" marR="0" lvl="3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none" strike="noStrike" kern="0" cap="none" spc="0" normalizeH="0" baseline="0" noProof="0">
            <a:ln>
              <a:noFill/>
            </a:ln>
            <a:solidFill>
              <a:srgbClr val="2FA5AB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1371600" marR="0" lvl="3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+mn-lt"/>
              <a:ea typeface="+mn-ea"/>
              <a:cs typeface="+mn-cs"/>
            </a:rPr>
            <a:t>Orçamento Particular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Exclusivo para médicos e suas respectivas secretárias para tratar de assuntos referentes à orçamentos hospitalaresparticuleres e eletivos.</a:t>
          </a: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E-mail: orcamentoparticular@hospitalveracruz.com.br            WhatsApp: (019) 99686-2162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pPr marL="1371600" marR="0" lvl="3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1371600" marR="0" lvl="3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+mn-lt"/>
              <a:ea typeface="+mn-ea"/>
              <a:cs typeface="+mn-cs"/>
            </a:rPr>
            <a:t>Secretaria/Tesouraria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- Acesso para pacientes para que possam obter informações financeiras de orçamentos já solicitados ou orçamento para internação de urgência - paciente via pronto socorro ou transferência hospitalar.</a:t>
          </a: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E-mail: secretaria@casadesaudecampinas.com.br           e            Telefone: (019)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 3736-3539 / WhatsApp: (019) 99205-5302</a:t>
          </a:r>
          <a:r>
            <a:rPr lang="pt-BR" sz="1200" b="0" i="0" baseline="0">
              <a:effectLst/>
              <a:latin typeface="+mn-lt"/>
              <a:ea typeface="+mn-ea"/>
              <a:cs typeface="+mn-cs"/>
            </a:rPr>
            <a:t>.</a:t>
          </a:r>
          <a:endParaRPr kumimoji="0" lang="pt-B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1371600" marR="0" lvl="3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none" strike="noStrike" kern="0" cap="none" spc="0" normalizeH="0" baseline="0" noProof="0">
            <a:ln>
              <a:noFill/>
            </a:ln>
            <a:solidFill>
              <a:srgbClr val="2FA5AB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1371600" marR="0" lvl="3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+mn-lt"/>
              <a:ea typeface="+mn-ea"/>
              <a:cs typeface="+mn-cs"/>
            </a:rPr>
            <a:t>Central de Agendamento Cirúrgico </a:t>
          </a: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Endereço eletrônico para dar entrada de processo de agendamento e autorização: https://www.portalfinx.com.br/</a:t>
          </a: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E-mail: central.agendamento@hospitalveracruz.com.br      e        Telefone: (019) 3734-3220 (opção 2, 2, 1)</a:t>
          </a:r>
        </a:p>
        <a:p>
          <a:pPr marL="1371600" marR="0" lvl="3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none" strike="noStrike" kern="0" cap="none" spc="0" normalizeH="0" baseline="0" noProof="0">
            <a:ln>
              <a:noFill/>
            </a:ln>
            <a:solidFill>
              <a:srgbClr val="2FA5AB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1371600" marR="0" lvl="3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+mn-lt"/>
              <a:ea typeface="+mn-ea"/>
              <a:cs typeface="+mn-cs"/>
            </a:rPr>
            <a:t>SAMM (Serviço de Atendimento Médico e Equipe Multidisciplinar) 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- Canal para dúvidas, sugestões e reclamações.</a:t>
          </a: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E-mail: atendimentomedico@hospitalveracruz.com.br    e         Telefone: (019) 3734-3124</a:t>
          </a:r>
        </a:p>
        <a:p>
          <a:pPr marL="1371600" marR="0" lvl="3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+mn-lt"/>
              <a:ea typeface="+mn-ea"/>
              <a:cs typeface="+mn-cs"/>
            </a:rPr>
            <a:t> 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Conte conosco,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Relacionamento de Mercado - Hospital Vera Cruz</a:t>
          </a:r>
          <a:br>
            <a:rPr kumimoji="0" lang="pt-B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omfortaa" pitchFamily="2" charset="0"/>
              <a:ea typeface="+mn-ea"/>
              <a:cs typeface="+mn-cs"/>
            </a:rPr>
          </a:br>
          <a:br>
            <a:rPr kumimoji="0" lang="pt-B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omfortaa" pitchFamily="2" charset="0"/>
              <a:ea typeface="+mn-ea"/>
              <a:cs typeface="+mn-cs"/>
            </a:rPr>
          </a:br>
          <a:endParaRPr kumimoji="0" lang="pt-B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omfortaa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369338</xdr:colOff>
      <xdr:row>0</xdr:row>
      <xdr:rowOff>121882</xdr:rowOff>
    </xdr:from>
    <xdr:to>
      <xdr:col>2</xdr:col>
      <xdr:colOff>2707681</xdr:colOff>
      <xdr:row>0</xdr:row>
      <xdr:rowOff>736509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1E090863-E2FF-4061-A4A0-48EAFA167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013" y="121882"/>
          <a:ext cx="3169399" cy="6193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36</xdr:row>
      <xdr:rowOff>0</xdr:rowOff>
    </xdr:from>
    <xdr:ext cx="10298206" cy="7283823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28DD357-F904-4137-BA67-7442B6B21E8C}"/>
            </a:ext>
          </a:extLst>
        </xdr:cNvPr>
        <xdr:cNvSpPr txBox="1"/>
      </xdr:nvSpPr>
      <xdr:spPr>
        <a:xfrm>
          <a:off x="19326225" y="17697450"/>
          <a:ext cx="10298206" cy="72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213826</xdr:colOff>
      <xdr:row>1</xdr:row>
      <xdr:rowOff>124408</xdr:rowOff>
    </xdr:from>
    <xdr:ext cx="524848" cy="488536"/>
    <xdr:pic>
      <xdr:nvPicPr>
        <xdr:cNvPr id="3" name="Imagem 2">
          <a:extLst>
            <a:ext uri="{FF2B5EF4-FFF2-40B4-BE49-F238E27FC236}">
              <a16:creationId xmlns:a16="http://schemas.microsoft.com/office/drawing/2014/main" id="{A197FADB-66BC-425C-A11E-7AB76E283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551" y="400633"/>
          <a:ext cx="524848" cy="488536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37</xdr:row>
      <xdr:rowOff>11905</xdr:rowOff>
    </xdr:from>
    <xdr:to>
      <xdr:col>13</xdr:col>
      <xdr:colOff>0</xdr:colOff>
      <xdr:row>78</xdr:row>
      <xdr:rowOff>190499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4C3775-563D-4FCE-B44E-13D525050318}"/>
            </a:ext>
          </a:extLst>
        </xdr:cNvPr>
        <xdr:cNvSpPr txBox="1"/>
      </xdr:nvSpPr>
      <xdr:spPr>
        <a:xfrm>
          <a:off x="83344" y="23800593"/>
          <a:ext cx="19228594" cy="2653903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100" b="1" i="0" u="none" strike="noStrike" kern="0" cap="none" spc="0" normalizeH="0" baseline="0" noProof="0">
            <a:ln>
              <a:noFill/>
            </a:ln>
            <a:solidFill>
              <a:srgbClr val="1F497D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100" b="1" i="0" u="none" strike="noStrike" kern="0" cap="none" spc="0" normalizeH="0" baseline="0" noProof="0">
            <a:ln>
              <a:noFill/>
            </a:ln>
            <a:solidFill>
              <a:srgbClr val="1F497D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Prezado(a) Dr(a) !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Disponibilizamos aqui nossa  tabela de Preços Padronizados do Hospital Vera Cruz 2023 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Objetivo é oferecer melhores condições e formas de pagamento ao seu paciente, e com isso  tornar mais simples o seu dia-a-dia.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As informações apresentadas são de uso restrito aos médicos do Corpo Clinico do Hospital Vera Cruz, sendo vetada a distribuição a terceiros.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O Vera cruz Hospital, pode suspender, sem prévio aviso, temporária ou definitivamente, a aplicação dos valores  e/ou alterar as premissas aqui aprsentadas.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sng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Instruções Gerais e Composição dos pacotes: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No valor deste orçamento (Pacote) está previsto diária hospitalar (exceto para procedimento ambulatorial, onde a alta ocorre logo apos recuperação do centro cirurgico), taxas de centro cirúrgico, material/medicação uso comum habitual ao procedimento.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- Na hipótese de ocorrer alta antes dos dias previstos no pacote, não será feita devolução da diferença, uma vez que trata-se de pacote.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O tempo cirúrgico é contado pelo tempo total de sala. Excedido o tempo estipulado será cobrada uma taxa adicional de  R$ 1.200,00 por hora para hospital e R$ 480,00 para anestesista.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A diária hospitalar vence às 10:00 horas do dia subsequente à internação, independente do horário da internação. Para procedimento com previsão de Day Hospital a alta deverá ser até às 19:00 horas. Para procedimento ambulatorial não está previsto internação.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Quando ocorrer complicações ou intercorrências não habituais, tão quais diárias ou procedimentos adicionais, este orçamento perde a validade e a conta hospitalar será cobrado de forma aberta, ou seja, na totalidade dos gastos e de acordo com a Tabela Particular Vigente (formato fee for service).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Na hipótese de haver utilização de materiais excedentes aos previstos ou não inclusos no pacote, será cobrado adicionalmente no fechamento da conta hospitalar.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Os valores dos Preços Padronizados são válido para procedimentos Eletivos, perdendo a validade para internação de urgência.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Procedimentos Associados (todos particulares): obedecem ao seguinte critério: </a:t>
          </a:r>
        </a:p>
        <a:p>
          <a:pPr marL="4572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Será cobrado 100% do procedimento de maior valor + 50% do 2º Procedimento de maior valor + 30%  do 3º Procedimento e demais que ocorrer.</a:t>
          </a:r>
        </a:p>
        <a:p>
          <a:pPr marL="457200" marR="0" lvl="2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Tempo sala:  será disponibilizado: 100% do tempo para o procedimento de maior valor e 50% do tempo para os demais procedimentos (no fechamento da conta, se necessário, </a:t>
          </a:r>
          <a:r>
            <a:rPr kumimoji="0" lang="pt-BR" sz="1200" b="0" i="0" u="sng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liberado tolerância 30 minutos sem cobrança adicional</a:t>
          </a:r>
          <a:r>
            <a:rPr kumimoji="0" lang="pt-B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).</a:t>
          </a:r>
        </a:p>
        <a:p>
          <a:pPr marL="457200" marR="0" lvl="2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As diárias </a:t>
          </a:r>
          <a:r>
            <a:rPr kumimoji="0" lang="pt-BR" sz="1200" b="0" i="0" u="sng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não</a:t>
          </a:r>
          <a:r>
            <a:rPr kumimoji="0" lang="pt-B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 são somadas, sendo disponibilizada a de maior periodo dentre os procedimentos do orçamento.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Cirurgia associada pelo convênio em carater de internação: </a:t>
          </a:r>
        </a:p>
        <a:p>
          <a:pPr marL="457200" marR="0" lvl="2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O paciente que  internar pelo convênio para realizar outro procedimento, desde que previamente autorizado, e realizar outro procedimento dessa tabela particular no mesmo ato cirúrgico, terá desconto de 50% correspondente a diária do Apartamento da tabela particular em vigor. Obs.: Nesse caso considere o valor do procedimento "internado". O Paciente ficará na acomodação de direito do plano (Apartamento ou Leito  respeitando a regra contratual com o convênio).</a:t>
          </a:r>
        </a:p>
        <a:p>
          <a:pPr marL="457200" marR="0" lvl="2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Importante:</a:t>
          </a:r>
          <a:r>
            <a:rPr kumimoji="0" lang="pt-BR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 Para procedimento ambulatorial, não heverá tal desconto.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Exclusões:</a:t>
          </a: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Não estão inclusos Internações em acomodações de Unidade Semi-Intensiva e UTI, exceto se solicitados previamente e já previstos nesse orçamento.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Não estão inclusos Órteses, próteses e materiais especiais, exceto se solicitado previamente e já previstos nesse orçamento. Importante: - Se houver a previsão de uso de Materiais Especiais, estes não podem ser negociados direto com o fornecedor, devem ser disponibilizados via Hospital.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No orçamento NÃO estão inclusos: Honorários médicos (*), sangue e hemoderivados, exames ou procedimentos pré-operatórios, exames complementares de diagnose e terapia de qualquer natureza, fisioterapia, anátomo patológico, nutrição, medicações de alto custo, equipe multodiciplinar e outros profissionais que possam ser solicitados. 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Intercorrências clinicas ou cirurgicas.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(*) Os honorários médicos deverão ser combinados/negociados diretamente com equipe médica, exceto os honorários que eventualmete já contemplados nesse orçamento. 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Lembrando que os honorários do anestesista correspondem a 40% do valor do cirurgião (exceto cirurgia plastica, devendo seguir o "simulador de orçamento") e devem ser pago separadamente do valor hospitalar e diretamente na Secretaria do Hospital. Os demais serviços, se houver, devem ser pagos adicionalmente de acordo com valores e forma de pagamento apresentado pelos respectivos serviços.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Intercorrências: 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Retorno ao centro cirurgico, dentro da mesma internação, para pequenas intercorrências (ex.: drenagem hematoma) desde que até 01 hora de sala: O valor complementar será considerado + 80% do valor do Orçamento do procedimento inicial, desde que paciente não necessite de diárias adicionais. Caso necessite de diária complementar, o valor será cobrado de acordo com tabela hospitalar vigente - tabela conta aberta ( diárias , mat/med, sadt, etc ).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Retorno ao centro cirurgico, em até 24h  após alta hospitalar, para reabordagem de pequenas intercorrêcnias (ex.: drenagem hematoma) desde que até 01 hora de sala: O valor complementar será considerado + 100% do valor do Orçamento do procedimento inicial. Caso necessite de diária complementar, o valor será cobrado de acordo com tabela hospitalar vigente - tabela conta aberta ( diárias , mat/med, sadt, etc ).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   </a:t>
          </a: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</a:t>
          </a:r>
          <a:r>
            <a:rPr kumimoji="0" lang="pt-BR" sz="1200" b="1" i="0" u="sng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 Instruções Fluxo Financeiras: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O paciente/responsável deve entrar em contato com a Tesouraria do Hospital, para alinhar as trataivas financeiras antes da internação do paciente.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Tesouraria do Hospital através do E-mail: </a:t>
          </a:r>
          <a:r>
            <a:rPr kumimoji="0" lang="pt-BR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secretaria@hospitalveracruz.com.br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 ou Telefone: 019-3734-3527 ou 019-3734-3145 / Whatsap: 019-99872-2634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Forma de pagamento:  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457200" marR="0" lvl="3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Valor Hospitalar: 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A ser pago em até 03 dias antes da internação , através de deposito bancário ou Cartão de crédito (em até 03x para orçamento de até R$ 6.000,00 / até 4x para orçamento de R$ 6.000,01 a R$ 16.000,00 / até 5x para orçamento de R$ 16.000,01 a R$ 22.000,00 / até 6x para orçamento R$ de 22.000,01 até R$ 30.000,00 / até 8 x para orçamentos acima de 30.000,00).</a:t>
          </a:r>
        </a:p>
        <a:p>
          <a:pPr marL="457200" marR="0" lvl="3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Obs.: O acerto final, correspondente aos gastos adicionais, se houver, deverá ser feito mediante pagamento complementar no momento do fechamento da conta hospitalar.</a:t>
          </a:r>
        </a:p>
        <a:p>
          <a:pPr marL="457200" marR="0" lvl="3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Somente para procedimento ambulatorial, está autorizado o pagamento após liberação do paciente.</a:t>
          </a:r>
        </a:p>
        <a:p>
          <a:pPr marL="457200" marR="0" lvl="3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457200" marR="0" lvl="3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Valor do Anestesista: 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A ser pago separadamente, antes da internação, através de cartão de credito ou depósito bancário.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Demais Orientações Gerais:</a:t>
          </a:r>
          <a:endParaRPr kumimoji="0" lang="pt-BR" sz="12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A Nota Fiscal será emitida, após a alta, somente em nome do paciente OU do responsável que assinar contrato de internação ou atendimento.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Não será possível o pagamento com cheque (exceto se houver autorização prévia da secretaria do hospital)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 Honorários médicos, serviços terceirizados, exames de diagnóstico ,  não estão inclusos no orçamento, devendo ser pagos separadamente à conta hospitalar, sedo que a Secretaria passará as instruções de valores e pagamentos.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 Nos orçamentos na modalidade de Pacote, não é disponibilizado a descriminação da conta detalhada, apenas é disponibilizado a nota fiscal.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</a:t>
          </a:r>
        </a:p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Caso paciente/responsável tenha dúvidas e queira falar com o Hospital, entrar em contato com a Tesouraria do Hospital através do E-mail: </a:t>
          </a:r>
          <a:r>
            <a:rPr kumimoji="0" lang="pt-BR" sz="12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  <a:hlinkClick xmlns:r="http://schemas.openxmlformats.org/officeDocument/2006/relationships" r:id=""/>
            </a:rPr>
            <a:t>secretaria@hospitalveracruz.com.br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 ou Telefone: 019-3734-3527 ou 019-3734-3145 / Whatsap: 019-99872-2634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sng" strike="noStrike" kern="0" cap="none" spc="0" normalizeH="0" baseline="0" noProof="0">
              <a:ln>
                <a:noFill/>
              </a:ln>
              <a:solidFill>
                <a:srgbClr val="1F497D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- Nosso Principais Canais de Acesso: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Orcamento particular: </a:t>
          </a: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Exclusivo para Médicos e suas respectivas Secretárias, para tratar de assuntos referente à Orçamento Hospitalar Particular Eletivo são:  </a:t>
          </a: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E-mail: 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  <a:hlinkClick xmlns:r="http://schemas.openxmlformats.org/officeDocument/2006/relationships" r:id=""/>
            </a:rPr>
            <a:t>orcamentoparticular@hospitalveracruz.com.br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/ Fone: 019 - 3734-3258   /  WhatsApp: 019 - 9.9686-2162</a:t>
          </a: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Tesouraria</a:t>
          </a: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Acesso para paciente obter informações financeiras de orçamentos já solicitados) ou orçamento para internação de urgência (paciente via PS ou transferência hospitalar).</a:t>
          </a:r>
        </a:p>
        <a:p>
          <a:pPr eaLnBrk="1" fontAlgn="auto" latinLnBrk="0" hangingPunct="1"/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E-mail: secretaria@hospitalveracruz.com.br / Fone 3734-3145 / 3734-3527 / 3734-3144 </a:t>
          </a:r>
          <a:r>
            <a:rPr kumimoji="0" lang="pt-B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/ Whatsap: 019-99872-2634</a:t>
          </a:r>
        </a:p>
        <a:p>
          <a:r>
            <a:rPr lang="pt-BR" sz="1100" b="0" i="0" baseline="0">
              <a:effectLst/>
              <a:latin typeface="+mn-lt"/>
              <a:ea typeface="+mn-ea"/>
              <a:cs typeface="+mn-cs"/>
            </a:rPr>
            <a:t> </a:t>
          </a:r>
          <a:endParaRPr kumimoji="0" lang="pt-B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Central de agendamento cirúrgico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: </a:t>
          </a: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Link para dar entrada de processo de agendamento/autorização: 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  <a:hlinkClick xmlns:r="http://schemas.openxmlformats.org/officeDocument/2006/relationships" r:id=""/>
            </a:rPr>
            <a:t>https://www.portalfinx.com.br/</a:t>
          </a: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Duvidas e solicitação de acesso ao Portal virtual: e-mail 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  <a:hlinkClick xmlns:r="http://schemas.openxmlformats.org/officeDocument/2006/relationships" r:id=""/>
            </a:rPr>
            <a:t>central.agendamento@hospitalveracruz.com.br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/ Fone: 3734-3220.</a:t>
          </a: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SAMM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</a:t>
          </a: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Serviço Atendimento Médico e Equipe Multidiciplinar (duvidas, sugestões, reclamações)</a:t>
          </a:r>
        </a:p>
        <a:p>
          <a:pPr marL="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E-mail: 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  <a:hlinkClick xmlns:r="http://schemas.openxmlformats.org/officeDocument/2006/relationships" r:id=""/>
            </a:rPr>
            <a:t>atendimentomedico@hospitalveracruz.com.br</a:t>
          </a: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  / Fone 3734-3124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Conte conosco.</a:t>
          </a: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</a:br>
          <a: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  <a:t>Relacionamento de Mercado - Hospital Vera Cruz</a:t>
          </a:r>
          <a:br>
            <a:rPr kumimoji="0" lang="pt-B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</a:br>
          <a:br>
            <a:rPr kumimoji="0" lang="pt-BR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entury Gothic" pitchFamily="34" charset="0"/>
              <a:ea typeface="+mn-ea"/>
              <a:cs typeface="+mn-cs"/>
            </a:rPr>
          </a:br>
          <a:endParaRPr kumimoji="0" lang="pt-BR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 Gothic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1559719</xdr:colOff>
      <xdr:row>1</xdr:row>
      <xdr:rowOff>190500</xdr:rowOff>
    </xdr:from>
    <xdr:to>
      <xdr:col>15</xdr:col>
      <xdr:colOff>511969</xdr:colOff>
      <xdr:row>2</xdr:row>
      <xdr:rowOff>23812</xdr:rowOff>
    </xdr:to>
    <xdr:sp macro="" textlink="">
      <xdr:nvSpPr>
        <xdr:cNvPr id="5" name="Seta: Curva para Baixo 4">
          <a:extLst>
            <a:ext uri="{FF2B5EF4-FFF2-40B4-BE49-F238E27FC236}">
              <a16:creationId xmlns:a16="http://schemas.microsoft.com/office/drawing/2014/main" id="{74191C19-CD01-4814-8789-05599575A129}"/>
            </a:ext>
          </a:extLst>
        </xdr:cNvPr>
        <xdr:cNvSpPr/>
      </xdr:nvSpPr>
      <xdr:spPr>
        <a:xfrm>
          <a:off x="17895094" y="466725"/>
          <a:ext cx="2152650" cy="604837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357187</xdr:colOff>
      <xdr:row>3</xdr:row>
      <xdr:rowOff>23813</xdr:rowOff>
    </xdr:from>
    <xdr:to>
      <xdr:col>16</xdr:col>
      <xdr:colOff>559593</xdr:colOff>
      <xdr:row>3</xdr:row>
      <xdr:rowOff>595313</xdr:rowOff>
    </xdr:to>
    <xdr:sp macro="" textlink="">
      <xdr:nvSpPr>
        <xdr:cNvPr id="6" name="Seta: para Baixo 5">
          <a:extLst>
            <a:ext uri="{FF2B5EF4-FFF2-40B4-BE49-F238E27FC236}">
              <a16:creationId xmlns:a16="http://schemas.microsoft.com/office/drawing/2014/main" id="{E2C3D4C6-B1F1-4C56-9DEF-8F66E9845F85}"/>
            </a:ext>
          </a:extLst>
        </xdr:cNvPr>
        <xdr:cNvSpPr/>
      </xdr:nvSpPr>
      <xdr:spPr>
        <a:xfrm>
          <a:off x="21007387" y="1843088"/>
          <a:ext cx="202406" cy="571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152400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181100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402106</xdr:colOff>
      <xdr:row>2</xdr:row>
      <xdr:rowOff>59991</xdr:rowOff>
    </xdr:from>
    <xdr:ext cx="7282563" cy="41723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2897656" y="574341"/>
          <a:ext cx="7282563" cy="417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45720" tIns="41148" rIns="45720" bIns="0" anchor="ctr" upright="1">
          <a:spAutoFit/>
        </a:bodyPr>
        <a:lstStyle/>
        <a:p>
          <a:pPr algn="ctr" rtl="0">
            <a:defRPr sz="1000"/>
          </a:pPr>
          <a:r>
            <a:rPr lang="pt-BR" sz="2400" b="1" i="0" u="none" strike="noStrike" baseline="0">
              <a:solidFill>
                <a:schemeClr val="accent1"/>
              </a:solidFill>
              <a:latin typeface="+mn-lt"/>
            </a:rPr>
            <a:t>     </a:t>
          </a:r>
          <a:r>
            <a:rPr lang="pt-BR" sz="2400" b="1" i="0" u="none" strike="noStrike" baseline="0">
              <a:solidFill>
                <a:srgbClr val="04C4AD"/>
              </a:solidFill>
              <a:latin typeface="+mn-lt"/>
            </a:rPr>
            <a:t>TABELA DE PREÇOS PARTICULAR 2023</a:t>
          </a:r>
        </a:p>
      </xdr:txBody>
    </xdr:sp>
    <xdr:clientData/>
  </xdr:oneCellAnchor>
  <xdr:twoCellAnchor editAs="oneCell">
    <xdr:from>
      <xdr:col>1</xdr:col>
      <xdr:colOff>590550</xdr:colOff>
      <xdr:row>0</xdr:row>
      <xdr:rowOff>123823</xdr:rowOff>
    </xdr:from>
    <xdr:to>
      <xdr:col>3</xdr:col>
      <xdr:colOff>366174</xdr:colOff>
      <xdr:row>4</xdr:row>
      <xdr:rowOff>123824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123823"/>
          <a:ext cx="1080549" cy="895351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0</xdr:row>
      <xdr:rowOff>142875</xdr:rowOff>
    </xdr:from>
    <xdr:to>
      <xdr:col>12</xdr:col>
      <xdr:colOff>460991</xdr:colOff>
      <xdr:row>4</xdr:row>
      <xdr:rowOff>171451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244DCE-D4F9-4245-9F4F-6569868A5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5175" y="142875"/>
          <a:ext cx="1137266" cy="9239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4F3EC5-C52D-45AE-8FB7-0BD5E3C1D9D8}" name="Tabela2" displayName="Tabela2" ref="C4:M36" totalsRowShown="0" headerRowDxfId="14" dataDxfId="13" headerRowBorderDxfId="11" tableBorderDxfId="12">
  <sortState xmlns:xlrd2="http://schemas.microsoft.com/office/spreadsheetml/2017/richdata2" ref="C5:M36">
    <sortCondition ref="E4:E36"/>
  </sortState>
  <tableColumns count="11">
    <tableColumn id="1" xr3:uid="{48908447-476C-4AE0-B682-678BEB55A9BC}" name="Descrição Procedimento" dataDxfId="10"/>
    <tableColumn id="11" xr3:uid="{ACC8E090-CA38-42D2-8C1F-F2342B6B6D57}" name="Anestesia" dataDxfId="9"/>
    <tableColumn id="10" xr3:uid="{C716D894-52C4-479F-A869-31C7A53BD6C4}" name="Carater" dataDxfId="8"/>
    <tableColumn id="2" xr3:uid="{F90C8E4D-971F-4BEC-9052-13B7EB62BD12}" name="Acomodação" dataDxfId="7" dataCellStyle="Vírgula"/>
    <tableColumn id="3" xr3:uid="{76B9DDC3-637A-4EBB-A055-EED230AC51EC}" name="Diárias" dataDxfId="6"/>
    <tableColumn id="4" xr3:uid="{0B95D35F-305C-4BB6-B799-1EF355CD3BC5}" name="Tempo Sala (horas), para procedimento individual._x000a_(Para 2.ª e demais procedimentos, considerar 50% tempos)" dataDxfId="5"/>
    <tableColumn id="8" xr3:uid="{A673A4C2-4C91-4954-8FA2-0FE38AD73028}" name="Volor Hospitalar (R$)_x000a_" dataDxfId="4" dataCellStyle="Moeda"/>
    <tableColumn id="5" xr3:uid="{CE267C90-C344-4256-9D2D-27D04772EF3F}" name="Valor Anestesista (R$)" dataDxfId="3" dataCellStyle="Moeda">
      <calculatedColumnFormula>Tabela2[[#This Row],[Volor Hospitalar (R$)
]]*0.4</calculatedColumnFormula>
    </tableColumn>
    <tableColumn id="9" xr3:uid="{F68CD6DB-ABC2-4B86-96D1-C010385996D7}" name="Coluna1" dataDxfId="2" dataCellStyle="Moeda"/>
    <tableColumn id="6" xr3:uid="{E2E3993F-AADF-4222-B15C-859922CF292B}" name="Valor Hospitalar com desconto, valido somente nas datas ao lado_x000a_(R$)" dataDxfId="1" dataCellStyle="Moeda">
      <calculatedColumnFormula>Tabela2[[#This Row],[Volor Hospitalar (R$)
]]*0.9</calculatedColumnFormula>
    </tableColumn>
    <tableColumn id="7" xr3:uid="{99BB5201-A679-49DA-A499-AE151E498DD1}" name="Anestesia com desconto, valido somente nas datas ao lado_x000a_(R$)" dataDxfId="0" dataCellStyle="Moeda">
      <calculatedColumnFormula>Tabela2[[#This Row],[Valor Hospitalar com desconto, valido somente nas datas ao lado
(R$)]]*0.4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pageSetUpPr fitToPage="1"/>
  </sheetPr>
  <dimension ref="B1:Q128"/>
  <sheetViews>
    <sheetView showGridLines="0" topLeftCell="A77" zoomScale="90" zoomScaleNormal="90" workbookViewId="0">
      <selection activeCell="H83" sqref="H83"/>
    </sheetView>
  </sheetViews>
  <sheetFormatPr defaultColWidth="9.140625" defaultRowHeight="30" customHeight="1"/>
  <cols>
    <col min="1" max="1" width="3.28515625" style="14" customWidth="1"/>
    <col min="2" max="2" width="14.28515625" style="14" customWidth="1"/>
    <col min="3" max="3" width="14.5703125" style="14" customWidth="1"/>
    <col min="4" max="4" width="17.28515625" style="14" customWidth="1"/>
    <col min="5" max="5" width="45.28515625" style="14" bestFit="1" customWidth="1"/>
    <col min="6" max="6" width="13.140625" style="13" customWidth="1"/>
    <col min="7" max="7" width="17.140625" style="13" customWidth="1"/>
    <col min="8" max="8" width="7.5703125" style="15" customWidth="1"/>
    <col min="9" max="9" width="38.85546875" style="2" bestFit="1" customWidth="1"/>
    <col min="10" max="10" width="22.42578125" style="14" customWidth="1"/>
    <col min="11" max="11" width="34.140625" style="13" bestFit="1" customWidth="1"/>
    <col min="12" max="12" width="20.85546875" style="54" customWidth="1"/>
    <col min="13" max="13" width="21.28515625" style="2" customWidth="1"/>
    <col min="14" max="14" width="22.140625" style="2" customWidth="1"/>
    <col min="15" max="15" width="24.28515625" style="55" hidden="1" customWidth="1"/>
    <col min="16" max="16" width="9.140625" style="14"/>
    <col min="17" max="17" width="11.42578125" style="14" bestFit="1" customWidth="1"/>
    <col min="18" max="16384" width="9.140625" style="14"/>
  </cols>
  <sheetData>
    <row r="1" spans="2:17" ht="20.25" customHeight="1"/>
    <row r="2" spans="2:17" ht="30" customHeight="1">
      <c r="B2" s="43" t="s">
        <v>207</v>
      </c>
      <c r="C2" s="43" t="s">
        <v>88</v>
      </c>
      <c r="D2" s="43" t="s">
        <v>29</v>
      </c>
      <c r="E2" s="43" t="s">
        <v>24</v>
      </c>
      <c r="F2" s="43" t="s">
        <v>25</v>
      </c>
      <c r="G2" s="43" t="s">
        <v>26</v>
      </c>
      <c r="H2" s="43" t="s">
        <v>177</v>
      </c>
      <c r="I2" s="43" t="s">
        <v>35</v>
      </c>
      <c r="J2" s="43" t="s">
        <v>197</v>
      </c>
      <c r="K2" s="43" t="s">
        <v>28</v>
      </c>
      <c r="L2" s="43" t="s">
        <v>243</v>
      </c>
      <c r="M2" s="43" t="s">
        <v>244</v>
      </c>
      <c r="N2" s="43" t="s">
        <v>250</v>
      </c>
      <c r="O2" s="58" t="s">
        <v>249</v>
      </c>
    </row>
    <row r="3" spans="2:17" ht="36.75" customHeight="1">
      <c r="B3" s="16">
        <v>31602169</v>
      </c>
      <c r="C3" s="17">
        <v>16010051</v>
      </c>
      <c r="D3" s="17" t="s">
        <v>40</v>
      </c>
      <c r="E3" s="18" t="s">
        <v>242</v>
      </c>
      <c r="F3" s="19" t="s">
        <v>57</v>
      </c>
      <c r="G3" s="21" t="s">
        <v>247</v>
      </c>
      <c r="H3" s="20">
        <v>4.1666666666666664E-2</v>
      </c>
      <c r="I3" s="21" t="s">
        <v>176</v>
      </c>
      <c r="J3" s="21" t="s">
        <v>176</v>
      </c>
      <c r="K3" s="19" t="s">
        <v>131</v>
      </c>
      <c r="L3" s="53">
        <v>1236.3840000000002</v>
      </c>
      <c r="M3" s="45">
        <f t="shared" ref="M3:M8" si="0">L3*0.7</f>
        <v>865.4688000000001</v>
      </c>
      <c r="N3" s="45"/>
      <c r="O3" s="56" t="s">
        <v>248</v>
      </c>
    </row>
    <row r="4" spans="2:17" ht="30" customHeight="1">
      <c r="B4" s="16">
        <v>31602169</v>
      </c>
      <c r="C4" s="17">
        <v>16010051</v>
      </c>
      <c r="D4" s="17" t="s">
        <v>40</v>
      </c>
      <c r="E4" s="18" t="s">
        <v>242</v>
      </c>
      <c r="F4" s="19" t="s">
        <v>77</v>
      </c>
      <c r="G4" s="21" t="s">
        <v>247</v>
      </c>
      <c r="H4" s="20">
        <v>4.1666666666666664E-2</v>
      </c>
      <c r="I4" s="21" t="s">
        <v>176</v>
      </c>
      <c r="J4" s="21" t="s">
        <v>176</v>
      </c>
      <c r="K4" s="19" t="s">
        <v>131</v>
      </c>
      <c r="L4" s="53">
        <v>2656.8</v>
      </c>
      <c r="M4" s="45">
        <f t="shared" si="0"/>
        <v>1859.76</v>
      </c>
      <c r="N4" s="45"/>
      <c r="O4" s="56" t="s">
        <v>248</v>
      </c>
      <c r="Q4" s="52"/>
    </row>
    <row r="5" spans="2:17" ht="30" customHeight="1">
      <c r="B5" s="16">
        <v>31403336</v>
      </c>
      <c r="C5" s="17">
        <v>49050141</v>
      </c>
      <c r="D5" s="17" t="s">
        <v>40</v>
      </c>
      <c r="E5" s="24" t="s">
        <v>175</v>
      </c>
      <c r="F5" s="19" t="s">
        <v>77</v>
      </c>
      <c r="G5" s="21" t="s">
        <v>247</v>
      </c>
      <c r="H5" s="20">
        <v>8.3333333333333329E-2</v>
      </c>
      <c r="I5" s="21" t="s">
        <v>176</v>
      </c>
      <c r="J5" s="21" t="s">
        <v>176</v>
      </c>
      <c r="K5" s="19" t="s">
        <v>131</v>
      </c>
      <c r="L5" s="53">
        <v>3434.4</v>
      </c>
      <c r="M5" s="45">
        <f t="shared" si="0"/>
        <v>2404.08</v>
      </c>
      <c r="N5" s="45"/>
      <c r="O5" s="57">
        <v>0.08</v>
      </c>
      <c r="Q5" s="52"/>
    </row>
    <row r="6" spans="2:17" ht="30" customHeight="1">
      <c r="B6" s="16">
        <v>31403336</v>
      </c>
      <c r="C6" s="17">
        <v>49050141</v>
      </c>
      <c r="D6" s="17" t="s">
        <v>40</v>
      </c>
      <c r="E6" s="24" t="s">
        <v>175</v>
      </c>
      <c r="F6" s="19" t="s">
        <v>77</v>
      </c>
      <c r="G6" s="19" t="s">
        <v>81</v>
      </c>
      <c r="H6" s="20">
        <v>8.3333333333333329E-2</v>
      </c>
      <c r="I6" s="21" t="s">
        <v>176</v>
      </c>
      <c r="J6" s="21" t="s">
        <v>176</v>
      </c>
      <c r="K6" s="19" t="s">
        <v>131</v>
      </c>
      <c r="L6" s="53">
        <v>5724</v>
      </c>
      <c r="M6" s="45">
        <f t="shared" si="0"/>
        <v>4006.7999999999997</v>
      </c>
      <c r="N6" s="45"/>
      <c r="O6" s="57">
        <v>0.08</v>
      </c>
      <c r="Q6" s="52"/>
    </row>
    <row r="7" spans="2:17" ht="30" customHeight="1">
      <c r="B7" s="17">
        <v>30208050</v>
      </c>
      <c r="C7" s="17">
        <v>54160057</v>
      </c>
      <c r="D7" s="17" t="s">
        <v>38</v>
      </c>
      <c r="E7" s="25" t="s">
        <v>170</v>
      </c>
      <c r="F7" s="21" t="s">
        <v>49</v>
      </c>
      <c r="G7" s="19">
        <v>1</v>
      </c>
      <c r="H7" s="20">
        <v>0.125</v>
      </c>
      <c r="I7" s="26" t="s">
        <v>176</v>
      </c>
      <c r="J7" s="26" t="s">
        <v>176</v>
      </c>
      <c r="K7" s="19" t="s">
        <v>131</v>
      </c>
      <c r="L7" s="53">
        <v>6724</v>
      </c>
      <c r="M7" s="45">
        <f t="shared" si="0"/>
        <v>4706.7999999999993</v>
      </c>
      <c r="N7" s="45"/>
      <c r="O7" s="56" t="s">
        <v>248</v>
      </c>
    </row>
    <row r="8" spans="2:17" ht="30" customHeight="1">
      <c r="B8" s="17">
        <v>30208106</v>
      </c>
      <c r="C8" s="17">
        <v>54160103</v>
      </c>
      <c r="D8" s="17" t="s">
        <v>38</v>
      </c>
      <c r="E8" s="25" t="s">
        <v>39</v>
      </c>
      <c r="F8" s="21" t="s">
        <v>49</v>
      </c>
      <c r="G8" s="19">
        <v>1</v>
      </c>
      <c r="H8" s="20">
        <v>0.16666666666666666</v>
      </c>
      <c r="I8" s="26" t="s">
        <v>176</v>
      </c>
      <c r="J8" s="26" t="s">
        <v>176</v>
      </c>
      <c r="K8" s="19" t="s">
        <v>131</v>
      </c>
      <c r="L8" s="53">
        <v>7924</v>
      </c>
      <c r="M8" s="45">
        <f t="shared" si="0"/>
        <v>5546.7999999999993</v>
      </c>
      <c r="N8" s="45"/>
      <c r="O8" s="56" t="s">
        <v>248</v>
      </c>
    </row>
    <row r="9" spans="2:17" ht="25.5">
      <c r="B9" s="17" t="s">
        <v>209</v>
      </c>
      <c r="C9" s="17">
        <v>41060059</v>
      </c>
      <c r="D9" s="17" t="s">
        <v>54</v>
      </c>
      <c r="E9" s="24" t="s">
        <v>210</v>
      </c>
      <c r="F9" s="19" t="s">
        <v>49</v>
      </c>
      <c r="G9" s="19">
        <v>2</v>
      </c>
      <c r="H9" s="20">
        <v>0.16666666666666666</v>
      </c>
      <c r="I9" s="21" t="s">
        <v>198</v>
      </c>
      <c r="J9" s="21" t="s">
        <v>179</v>
      </c>
      <c r="K9" s="21" t="s">
        <v>151</v>
      </c>
      <c r="L9" s="53">
        <v>10417.68</v>
      </c>
      <c r="M9" s="45">
        <f>L9*0.8</f>
        <v>8334.1440000000002</v>
      </c>
      <c r="N9" s="45">
        <v>700</v>
      </c>
      <c r="O9" s="57">
        <v>0.08</v>
      </c>
    </row>
    <row r="10" spans="2:17" ht="25.5">
      <c r="B10" s="17" t="s">
        <v>238</v>
      </c>
      <c r="C10" s="17" t="s">
        <v>240</v>
      </c>
      <c r="D10" s="17" t="s">
        <v>54</v>
      </c>
      <c r="E10" s="24" t="s">
        <v>239</v>
      </c>
      <c r="F10" s="19" t="s">
        <v>49</v>
      </c>
      <c r="G10" s="19">
        <v>1</v>
      </c>
      <c r="H10" s="20">
        <v>0.125</v>
      </c>
      <c r="I10" s="21" t="s">
        <v>176</v>
      </c>
      <c r="J10" s="21"/>
      <c r="K10" s="21" t="s">
        <v>196</v>
      </c>
      <c r="L10" s="53">
        <v>8532</v>
      </c>
      <c r="M10" s="45">
        <f>L10*0.7</f>
        <v>5972.4</v>
      </c>
      <c r="N10" s="45">
        <v>550</v>
      </c>
      <c r="O10" s="57">
        <v>0.08</v>
      </c>
    </row>
    <row r="11" spans="2:17" ht="25.5">
      <c r="B11" s="17">
        <v>30212030</v>
      </c>
      <c r="C11" s="17">
        <v>41040082</v>
      </c>
      <c r="D11" s="17" t="s">
        <v>54</v>
      </c>
      <c r="E11" s="18" t="s">
        <v>51</v>
      </c>
      <c r="F11" s="19" t="s">
        <v>49</v>
      </c>
      <c r="G11" s="19">
        <v>2</v>
      </c>
      <c r="H11" s="20">
        <v>0.20833333333333334</v>
      </c>
      <c r="I11" s="21" t="s">
        <v>198</v>
      </c>
      <c r="J11" s="21" t="s">
        <v>179</v>
      </c>
      <c r="K11" s="21" t="s">
        <v>151</v>
      </c>
      <c r="L11" s="53">
        <v>11448</v>
      </c>
      <c r="M11" s="45">
        <f>L11*0.8</f>
        <v>9158.4</v>
      </c>
      <c r="N11" s="45">
        <v>1450</v>
      </c>
      <c r="O11" s="57">
        <v>0.08</v>
      </c>
    </row>
    <row r="12" spans="2:17" ht="25.5">
      <c r="B12" s="17">
        <v>30204062</v>
      </c>
      <c r="C12" s="17">
        <v>41040082</v>
      </c>
      <c r="D12" s="17" t="s">
        <v>54</v>
      </c>
      <c r="E12" s="25" t="s">
        <v>208</v>
      </c>
      <c r="F12" s="19" t="s">
        <v>49</v>
      </c>
      <c r="G12" s="19">
        <v>2</v>
      </c>
      <c r="H12" s="20">
        <v>0.125</v>
      </c>
      <c r="I12" s="21" t="s">
        <v>198</v>
      </c>
      <c r="J12" s="21" t="s">
        <v>179</v>
      </c>
      <c r="K12" s="21" t="s">
        <v>151</v>
      </c>
      <c r="L12" s="53">
        <v>9043.92</v>
      </c>
      <c r="M12" s="45">
        <f>L12*0.8</f>
        <v>7235.1360000000004</v>
      </c>
      <c r="N12" s="45">
        <v>550</v>
      </c>
      <c r="O12" s="57">
        <v>0.08</v>
      </c>
    </row>
    <row r="13" spans="2:17" ht="25.5">
      <c r="B13" s="17">
        <v>30204020</v>
      </c>
      <c r="C13" s="17">
        <v>41040031</v>
      </c>
      <c r="D13" s="17" t="s">
        <v>54</v>
      </c>
      <c r="E13" s="18" t="s">
        <v>52</v>
      </c>
      <c r="F13" s="19" t="s">
        <v>49</v>
      </c>
      <c r="G13" s="19">
        <v>1</v>
      </c>
      <c r="H13" s="20">
        <v>8.3333333333333329E-2</v>
      </c>
      <c r="I13" s="21" t="s">
        <v>198</v>
      </c>
      <c r="J13" s="21" t="s">
        <v>179</v>
      </c>
      <c r="K13" s="21" t="s">
        <v>151</v>
      </c>
      <c r="L13" s="53">
        <v>8242.5600000000013</v>
      </c>
      <c r="M13" s="45">
        <f>L13*0.8</f>
        <v>6594.0480000000016</v>
      </c>
      <c r="N13" s="45">
        <v>550</v>
      </c>
      <c r="O13" s="57">
        <v>0.08</v>
      </c>
    </row>
    <row r="14" spans="2:17" ht="25.5">
      <c r="B14" s="17">
        <v>30213053</v>
      </c>
      <c r="C14" s="17">
        <v>44040075</v>
      </c>
      <c r="D14" s="17" t="s">
        <v>54</v>
      </c>
      <c r="E14" s="18" t="s">
        <v>53</v>
      </c>
      <c r="F14" s="19" t="s">
        <v>49</v>
      </c>
      <c r="G14" s="19">
        <v>2</v>
      </c>
      <c r="H14" s="20">
        <v>0.125</v>
      </c>
      <c r="I14" s="21" t="s">
        <v>198</v>
      </c>
      <c r="J14" s="21" t="s">
        <v>179</v>
      </c>
      <c r="K14" s="21" t="s">
        <v>151</v>
      </c>
      <c r="L14" s="53">
        <v>9043.92</v>
      </c>
      <c r="M14" s="45">
        <f>L14*0.8</f>
        <v>7235.1360000000004</v>
      </c>
      <c r="N14" s="45">
        <v>700</v>
      </c>
      <c r="O14" s="57">
        <v>0.08</v>
      </c>
    </row>
    <row r="15" spans="2:17" ht="53.25" customHeight="1">
      <c r="B15" s="17">
        <v>30912032</v>
      </c>
      <c r="C15" s="17">
        <v>40090027</v>
      </c>
      <c r="D15" s="17" t="s">
        <v>167</v>
      </c>
      <c r="E15" s="18" t="s">
        <v>50</v>
      </c>
      <c r="F15" s="17" t="s">
        <v>57</v>
      </c>
      <c r="G15" s="17" t="s">
        <v>174</v>
      </c>
      <c r="H15" s="32">
        <v>8.3333333333333329E-2</v>
      </c>
      <c r="I15" s="17" t="s">
        <v>251</v>
      </c>
      <c r="J15" s="17" t="s">
        <v>187</v>
      </c>
      <c r="K15" s="27" t="s">
        <v>168</v>
      </c>
      <c r="L15" s="53">
        <v>16027.2</v>
      </c>
      <c r="M15" s="45" t="s">
        <v>246</v>
      </c>
      <c r="N15" s="45"/>
      <c r="O15" s="57">
        <v>0.08</v>
      </c>
    </row>
    <row r="16" spans="2:17" ht="51">
      <c r="B16" s="17">
        <v>30911028</v>
      </c>
      <c r="C16" s="29" t="s">
        <v>176</v>
      </c>
      <c r="D16" s="17" t="s">
        <v>167</v>
      </c>
      <c r="E16" s="25" t="s">
        <v>169</v>
      </c>
      <c r="F16" s="19" t="s">
        <v>57</v>
      </c>
      <c r="G16" s="21" t="s">
        <v>247</v>
      </c>
      <c r="H16" s="20">
        <v>8.3333333333333329E-2</v>
      </c>
      <c r="I16" s="17" t="s">
        <v>252</v>
      </c>
      <c r="J16" s="17" t="s">
        <v>191</v>
      </c>
      <c r="K16" s="31" t="s">
        <v>176</v>
      </c>
      <c r="L16" s="53">
        <v>9158.4000000000015</v>
      </c>
      <c r="M16" s="45" t="s">
        <v>246</v>
      </c>
      <c r="N16" s="45"/>
      <c r="O16" s="57">
        <v>0.08</v>
      </c>
    </row>
    <row r="17" spans="2:15" ht="38.25">
      <c r="B17" s="17">
        <v>30911079</v>
      </c>
      <c r="C17" s="17">
        <v>40080200</v>
      </c>
      <c r="D17" s="17" t="s">
        <v>167</v>
      </c>
      <c r="E17" s="25" t="s">
        <v>32</v>
      </c>
      <c r="F17" s="21" t="s">
        <v>57</v>
      </c>
      <c r="G17" s="21" t="s">
        <v>247</v>
      </c>
      <c r="H17" s="20">
        <v>4.1666666666666664E-2</v>
      </c>
      <c r="I17" s="17" t="s">
        <v>253</v>
      </c>
      <c r="J17" s="17" t="s">
        <v>187</v>
      </c>
      <c r="K17" s="31" t="s">
        <v>176</v>
      </c>
      <c r="L17" s="53">
        <v>4006.8</v>
      </c>
      <c r="M17" s="45" t="s">
        <v>246</v>
      </c>
      <c r="N17" s="45"/>
      <c r="O17" s="57">
        <v>0.08</v>
      </c>
    </row>
    <row r="18" spans="2:15" ht="51">
      <c r="B18" s="17">
        <v>30911141</v>
      </c>
      <c r="C18" s="29" t="s">
        <v>176</v>
      </c>
      <c r="D18" s="17" t="s">
        <v>167</v>
      </c>
      <c r="E18" s="18" t="s">
        <v>36</v>
      </c>
      <c r="F18" s="19" t="s">
        <v>57</v>
      </c>
      <c r="G18" s="21" t="s">
        <v>247</v>
      </c>
      <c r="H18" s="20"/>
      <c r="I18" s="17" t="s">
        <v>254</v>
      </c>
      <c r="J18" s="17" t="s">
        <v>192</v>
      </c>
      <c r="K18" s="31" t="s">
        <v>176</v>
      </c>
      <c r="L18" s="53">
        <v>10303.200000000001</v>
      </c>
      <c r="M18" s="45" t="s">
        <v>246</v>
      </c>
      <c r="N18" s="45"/>
      <c r="O18" s="57">
        <v>0.08</v>
      </c>
    </row>
    <row r="19" spans="2:15" ht="73.5" customHeight="1">
      <c r="B19" s="17">
        <v>30904137</v>
      </c>
      <c r="C19" s="29" t="s">
        <v>176</v>
      </c>
      <c r="D19" s="17" t="s">
        <v>167</v>
      </c>
      <c r="E19" s="25" t="s">
        <v>83</v>
      </c>
      <c r="F19" s="21" t="s">
        <v>49</v>
      </c>
      <c r="G19" s="19">
        <v>1</v>
      </c>
      <c r="H19" s="20">
        <v>8.3333333333333329E-2</v>
      </c>
      <c r="I19" s="21" t="s">
        <v>176</v>
      </c>
      <c r="J19" s="17" t="s">
        <v>176</v>
      </c>
      <c r="K19" s="19" t="s">
        <v>82</v>
      </c>
      <c r="L19" s="53">
        <v>6067.4400000000005</v>
      </c>
      <c r="M19" s="45" t="s">
        <v>246</v>
      </c>
      <c r="N19" s="45"/>
      <c r="O19" s="57">
        <v>0.08</v>
      </c>
    </row>
    <row r="20" spans="2:15" ht="30" customHeight="1">
      <c r="B20" s="17">
        <v>30904129</v>
      </c>
      <c r="C20" s="17">
        <v>40050033</v>
      </c>
      <c r="D20" s="17" t="s">
        <v>167</v>
      </c>
      <c r="E20" s="25" t="s">
        <v>84</v>
      </c>
      <c r="F20" s="21" t="s">
        <v>49</v>
      </c>
      <c r="G20" s="19" t="s">
        <v>81</v>
      </c>
      <c r="H20" s="20">
        <v>4.1666666666666664E-2</v>
      </c>
      <c r="I20" s="17" t="s">
        <v>176</v>
      </c>
      <c r="J20" s="17" t="s">
        <v>176</v>
      </c>
      <c r="K20" s="19" t="s">
        <v>85</v>
      </c>
      <c r="L20" s="53">
        <v>4121.2800000000007</v>
      </c>
      <c r="M20" s="45" t="s">
        <v>246</v>
      </c>
      <c r="N20" s="45"/>
      <c r="O20" s="57">
        <v>0.08</v>
      </c>
    </row>
    <row r="21" spans="2:15" ht="30" customHeight="1">
      <c r="B21" s="17">
        <v>31003079</v>
      </c>
      <c r="C21" s="17">
        <v>43030025</v>
      </c>
      <c r="D21" s="17" t="s">
        <v>3</v>
      </c>
      <c r="E21" s="25" t="s">
        <v>4</v>
      </c>
      <c r="F21" s="21" t="s">
        <v>105</v>
      </c>
      <c r="G21" s="19">
        <v>2</v>
      </c>
      <c r="H21" s="20">
        <v>8.3333333333333329E-2</v>
      </c>
      <c r="I21" s="17" t="s">
        <v>176</v>
      </c>
      <c r="J21" s="17" t="s">
        <v>176</v>
      </c>
      <c r="K21" s="19" t="s">
        <v>134</v>
      </c>
      <c r="L21" s="53">
        <v>6181.92</v>
      </c>
      <c r="M21" s="45">
        <f>L21*0.7</f>
        <v>4327.3440000000001</v>
      </c>
      <c r="N21" s="45">
        <v>550</v>
      </c>
      <c r="O21" s="57">
        <v>0.08</v>
      </c>
    </row>
    <row r="22" spans="2:15" ht="30" customHeight="1">
      <c r="B22" s="17">
        <v>31003583</v>
      </c>
      <c r="C22" s="17" t="s">
        <v>176</v>
      </c>
      <c r="D22" s="17" t="s">
        <v>3</v>
      </c>
      <c r="E22" s="18" t="s">
        <v>5</v>
      </c>
      <c r="F22" s="21" t="s">
        <v>105</v>
      </c>
      <c r="G22" s="19">
        <v>1</v>
      </c>
      <c r="H22" s="20">
        <v>8.3333333333333329E-2</v>
      </c>
      <c r="I22" s="17" t="s">
        <v>34</v>
      </c>
      <c r="J22" s="19" t="s">
        <v>180</v>
      </c>
      <c r="K22" s="21" t="s">
        <v>152</v>
      </c>
      <c r="L22" s="53">
        <v>8586</v>
      </c>
      <c r="M22" s="45">
        <f>L22*0.8</f>
        <v>6868.8</v>
      </c>
      <c r="N22" s="45">
        <v>550</v>
      </c>
      <c r="O22" s="57">
        <v>0.08</v>
      </c>
    </row>
    <row r="23" spans="2:15" ht="30" customHeight="1">
      <c r="B23" s="17">
        <v>31009042</v>
      </c>
      <c r="C23" s="17">
        <v>43080022</v>
      </c>
      <c r="D23" s="17" t="s">
        <v>3</v>
      </c>
      <c r="E23" s="25" t="s">
        <v>6</v>
      </c>
      <c r="F23" s="21" t="s">
        <v>142</v>
      </c>
      <c r="G23" s="19" t="s">
        <v>81</v>
      </c>
      <c r="H23" s="20">
        <v>8.3333333333333329E-2</v>
      </c>
      <c r="I23" s="17" t="s">
        <v>176</v>
      </c>
      <c r="J23" s="17" t="s">
        <v>176</v>
      </c>
      <c r="K23" s="19" t="s">
        <v>131</v>
      </c>
      <c r="L23" s="53">
        <v>4258.6560000000009</v>
      </c>
      <c r="M23" s="45">
        <f>L23*0.7</f>
        <v>2981.0592000000006</v>
      </c>
      <c r="N23" s="45">
        <v>390</v>
      </c>
      <c r="O23" s="57">
        <v>0.08</v>
      </c>
    </row>
    <row r="24" spans="2:15" ht="30" customHeight="1">
      <c r="B24" s="17">
        <v>31005497</v>
      </c>
      <c r="C24" s="17" t="s">
        <v>176</v>
      </c>
      <c r="D24" s="17" t="s">
        <v>3</v>
      </c>
      <c r="E24" s="25" t="s">
        <v>211</v>
      </c>
      <c r="F24" s="21" t="s">
        <v>105</v>
      </c>
      <c r="G24" s="19">
        <v>1</v>
      </c>
      <c r="H24" s="20">
        <v>8.3333333333333329E-2</v>
      </c>
      <c r="I24" s="17" t="s">
        <v>153</v>
      </c>
      <c r="J24" s="19" t="s">
        <v>180</v>
      </c>
      <c r="K24" s="21" t="s">
        <v>152</v>
      </c>
      <c r="L24" s="53">
        <v>8586</v>
      </c>
      <c r="M24" s="45">
        <f t="shared" ref="M24:M31" si="1">L24*0.8</f>
        <v>6868.8</v>
      </c>
      <c r="N24" s="45">
        <v>550</v>
      </c>
      <c r="O24" s="57">
        <v>0.08</v>
      </c>
    </row>
    <row r="25" spans="2:15" ht="30" customHeight="1">
      <c r="B25" s="17">
        <v>31005470</v>
      </c>
      <c r="C25" s="17" t="s">
        <v>176</v>
      </c>
      <c r="D25" s="17" t="s">
        <v>3</v>
      </c>
      <c r="E25" s="25" t="s">
        <v>212</v>
      </c>
      <c r="F25" s="21" t="s">
        <v>105</v>
      </c>
      <c r="G25" s="19">
        <v>1</v>
      </c>
      <c r="H25" s="20">
        <v>8.3333333333333329E-2</v>
      </c>
      <c r="I25" s="17" t="s">
        <v>153</v>
      </c>
      <c r="J25" s="19" t="s">
        <v>180</v>
      </c>
      <c r="K25" s="21" t="s">
        <v>152</v>
      </c>
      <c r="L25" s="53">
        <v>8586</v>
      </c>
      <c r="M25" s="45">
        <f t="shared" si="1"/>
        <v>6868.8</v>
      </c>
      <c r="N25" s="45">
        <v>550</v>
      </c>
      <c r="O25" s="57">
        <v>0.08</v>
      </c>
    </row>
    <row r="26" spans="2:15" ht="30" customHeight="1">
      <c r="B26" s="17">
        <v>31003168</v>
      </c>
      <c r="C26" s="17">
        <v>43030050</v>
      </c>
      <c r="D26" s="17" t="s">
        <v>3</v>
      </c>
      <c r="E26" s="25" t="s">
        <v>214</v>
      </c>
      <c r="F26" s="21" t="s">
        <v>105</v>
      </c>
      <c r="G26" s="21" t="s">
        <v>195</v>
      </c>
      <c r="H26" s="20">
        <v>0.16666666666666666</v>
      </c>
      <c r="I26" s="21" t="s">
        <v>166</v>
      </c>
      <c r="J26" s="17" t="s">
        <v>176</v>
      </c>
      <c r="K26" s="21" t="s">
        <v>155</v>
      </c>
      <c r="L26" s="53">
        <v>26330.400000000001</v>
      </c>
      <c r="M26" s="45">
        <f t="shared" si="1"/>
        <v>21064.320000000003</v>
      </c>
      <c r="N26" s="61" t="s">
        <v>255</v>
      </c>
      <c r="O26" s="57">
        <v>0.08</v>
      </c>
    </row>
    <row r="27" spans="2:15" ht="30" customHeight="1">
      <c r="B27" s="17">
        <v>31003613</v>
      </c>
      <c r="C27" s="17" t="s">
        <v>176</v>
      </c>
      <c r="D27" s="17" t="s">
        <v>3</v>
      </c>
      <c r="E27" s="25" t="s">
        <v>216</v>
      </c>
      <c r="F27" s="21" t="s">
        <v>105</v>
      </c>
      <c r="G27" s="21" t="s">
        <v>194</v>
      </c>
      <c r="H27" s="20">
        <v>0.125</v>
      </c>
      <c r="I27" s="21" t="s">
        <v>166</v>
      </c>
      <c r="J27" s="17" t="s">
        <v>176</v>
      </c>
      <c r="K27" s="21" t="s">
        <v>155</v>
      </c>
      <c r="L27" s="53">
        <v>21751.200000000001</v>
      </c>
      <c r="M27" s="45">
        <f t="shared" si="1"/>
        <v>17400.960000000003</v>
      </c>
      <c r="N27" s="61" t="s">
        <v>255</v>
      </c>
      <c r="O27" s="57">
        <v>0.08</v>
      </c>
    </row>
    <row r="28" spans="2:15" ht="30" customHeight="1">
      <c r="B28" s="17">
        <v>31003176</v>
      </c>
      <c r="C28" s="17">
        <v>43030050</v>
      </c>
      <c r="D28" s="17" t="s">
        <v>3</v>
      </c>
      <c r="E28" s="25" t="s">
        <v>213</v>
      </c>
      <c r="F28" s="21" t="s">
        <v>105</v>
      </c>
      <c r="G28" s="21" t="s">
        <v>195</v>
      </c>
      <c r="H28" s="20">
        <v>0.16666666666666666</v>
      </c>
      <c r="I28" s="21" t="s">
        <v>166</v>
      </c>
      <c r="J28" s="17" t="s">
        <v>176</v>
      </c>
      <c r="K28" s="21" t="s">
        <v>155</v>
      </c>
      <c r="L28" s="53">
        <v>26330.400000000001</v>
      </c>
      <c r="M28" s="45">
        <f t="shared" si="1"/>
        <v>21064.320000000003</v>
      </c>
      <c r="N28" s="61" t="s">
        <v>255</v>
      </c>
      <c r="O28" s="57">
        <v>0.08</v>
      </c>
    </row>
    <row r="29" spans="2:15" ht="30" customHeight="1">
      <c r="B29" s="17">
        <v>31003176</v>
      </c>
      <c r="C29" s="17">
        <v>43030050</v>
      </c>
      <c r="D29" s="17" t="s">
        <v>3</v>
      </c>
      <c r="E29" s="25" t="s">
        <v>213</v>
      </c>
      <c r="F29" s="21" t="s">
        <v>105</v>
      </c>
      <c r="G29" s="21" t="s">
        <v>228</v>
      </c>
      <c r="H29" s="20">
        <v>0.16666666666666666</v>
      </c>
      <c r="I29" s="21" t="s">
        <v>230</v>
      </c>
      <c r="J29" s="17" t="s">
        <v>176</v>
      </c>
      <c r="K29" s="21" t="s">
        <v>155</v>
      </c>
      <c r="L29" s="53">
        <v>19461.600000000002</v>
      </c>
      <c r="M29" s="45">
        <f t="shared" si="1"/>
        <v>15569.280000000002</v>
      </c>
      <c r="N29" s="61" t="s">
        <v>255</v>
      </c>
      <c r="O29" s="57">
        <v>0.08</v>
      </c>
    </row>
    <row r="30" spans="2:15" ht="30" customHeight="1">
      <c r="B30" s="17">
        <v>31003621</v>
      </c>
      <c r="C30" s="17" t="s">
        <v>176</v>
      </c>
      <c r="D30" s="17" t="s">
        <v>3</v>
      </c>
      <c r="E30" s="25" t="s">
        <v>215</v>
      </c>
      <c r="F30" s="21" t="s">
        <v>105</v>
      </c>
      <c r="G30" s="21" t="s">
        <v>194</v>
      </c>
      <c r="H30" s="20">
        <v>0.125</v>
      </c>
      <c r="I30" s="21" t="s">
        <v>166</v>
      </c>
      <c r="J30" s="17" t="s">
        <v>176</v>
      </c>
      <c r="K30" s="21" t="s">
        <v>155</v>
      </c>
      <c r="L30" s="53">
        <v>21751.200000000001</v>
      </c>
      <c r="M30" s="45">
        <f t="shared" si="1"/>
        <v>17400.960000000003</v>
      </c>
      <c r="N30" s="61" t="s">
        <v>255</v>
      </c>
      <c r="O30" s="57">
        <v>0.08</v>
      </c>
    </row>
    <row r="31" spans="2:15" ht="30" customHeight="1">
      <c r="B31" s="17">
        <v>31003621</v>
      </c>
      <c r="C31" s="17" t="s">
        <v>176</v>
      </c>
      <c r="D31" s="17" t="s">
        <v>3</v>
      </c>
      <c r="E31" s="25" t="s">
        <v>215</v>
      </c>
      <c r="F31" s="21" t="s">
        <v>105</v>
      </c>
      <c r="G31" s="21" t="s">
        <v>229</v>
      </c>
      <c r="H31" s="20">
        <v>0.125</v>
      </c>
      <c r="I31" s="21" t="s">
        <v>230</v>
      </c>
      <c r="J31" s="17" t="s">
        <v>176</v>
      </c>
      <c r="K31" s="21" t="s">
        <v>155</v>
      </c>
      <c r="L31" s="53">
        <v>17172</v>
      </c>
      <c r="M31" s="45">
        <f t="shared" si="1"/>
        <v>13737.6</v>
      </c>
      <c r="N31" s="61" t="s">
        <v>255</v>
      </c>
      <c r="O31" s="57">
        <v>0.08</v>
      </c>
    </row>
    <row r="32" spans="2:15" ht="30" customHeight="1">
      <c r="B32" s="17">
        <v>31004105</v>
      </c>
      <c r="C32" s="17">
        <v>43040098</v>
      </c>
      <c r="D32" s="17" t="s">
        <v>3</v>
      </c>
      <c r="E32" s="25" t="s">
        <v>55</v>
      </c>
      <c r="F32" s="21" t="s">
        <v>150</v>
      </c>
      <c r="G32" s="21" t="s">
        <v>81</v>
      </c>
      <c r="H32" s="20">
        <v>6.25E-2</v>
      </c>
      <c r="I32" s="17" t="s">
        <v>176</v>
      </c>
      <c r="J32" s="17" t="s">
        <v>176</v>
      </c>
      <c r="K32" s="21" t="s">
        <v>130</v>
      </c>
      <c r="L32" s="53">
        <v>4464.72</v>
      </c>
      <c r="M32" s="45">
        <f>L32*0.7</f>
        <v>3125.3040000000001</v>
      </c>
      <c r="N32" s="45">
        <v>550</v>
      </c>
      <c r="O32" s="57">
        <v>0.08</v>
      </c>
    </row>
    <row r="33" spans="2:15" ht="30" customHeight="1">
      <c r="B33" s="17">
        <v>31004148</v>
      </c>
      <c r="C33" s="17">
        <v>43040101</v>
      </c>
      <c r="D33" s="17" t="s">
        <v>3</v>
      </c>
      <c r="E33" s="25" t="s">
        <v>56</v>
      </c>
      <c r="F33" s="21" t="s">
        <v>150</v>
      </c>
      <c r="G33" s="21" t="s">
        <v>81</v>
      </c>
      <c r="H33" s="20">
        <v>6.25E-2</v>
      </c>
      <c r="I33" s="17" t="s">
        <v>176</v>
      </c>
      <c r="J33" s="17" t="s">
        <v>176</v>
      </c>
      <c r="K33" s="21" t="s">
        <v>130</v>
      </c>
      <c r="L33" s="53">
        <v>4464.72</v>
      </c>
      <c r="M33" s="45">
        <f>L33*0.7</f>
        <v>3125.3040000000001</v>
      </c>
      <c r="N33" s="45">
        <v>550</v>
      </c>
      <c r="O33" s="57">
        <v>0.08</v>
      </c>
    </row>
    <row r="34" spans="2:15" ht="30" customHeight="1">
      <c r="B34" s="17">
        <v>31004202</v>
      </c>
      <c r="C34" s="17">
        <v>43040144</v>
      </c>
      <c r="D34" s="17" t="s">
        <v>3</v>
      </c>
      <c r="E34" s="25" t="s">
        <v>14</v>
      </c>
      <c r="F34" s="21" t="s">
        <v>105</v>
      </c>
      <c r="G34" s="19">
        <v>1</v>
      </c>
      <c r="H34" s="20">
        <v>8.3333333333333329E-2</v>
      </c>
      <c r="I34" s="17" t="s">
        <v>176</v>
      </c>
      <c r="J34" s="17" t="s">
        <v>176</v>
      </c>
      <c r="K34" s="19" t="s">
        <v>134</v>
      </c>
      <c r="L34" s="53">
        <v>4808.1600000000008</v>
      </c>
      <c r="M34" s="45">
        <f>L34*0.7</f>
        <v>3365.7120000000004</v>
      </c>
      <c r="N34" s="45">
        <v>550</v>
      </c>
      <c r="O34" s="57">
        <v>0.08</v>
      </c>
    </row>
    <row r="35" spans="2:15" ht="45" customHeight="1">
      <c r="B35" s="17">
        <v>31004202</v>
      </c>
      <c r="C35" s="17">
        <v>43040144</v>
      </c>
      <c r="D35" s="17" t="s">
        <v>3</v>
      </c>
      <c r="E35" s="25" t="s">
        <v>217</v>
      </c>
      <c r="F35" s="21" t="s">
        <v>105</v>
      </c>
      <c r="G35" s="19">
        <v>1</v>
      </c>
      <c r="H35" s="20">
        <v>8.3333333333333329E-2</v>
      </c>
      <c r="I35" s="21" t="s">
        <v>143</v>
      </c>
      <c r="J35" s="21" t="s">
        <v>181</v>
      </c>
      <c r="K35" s="21" t="s">
        <v>152</v>
      </c>
      <c r="L35" s="53">
        <v>8013.6</v>
      </c>
      <c r="M35" s="45">
        <f>L35*0.8</f>
        <v>6410.880000000001</v>
      </c>
      <c r="N35" s="45">
        <v>550</v>
      </c>
      <c r="O35" s="57">
        <v>0.08</v>
      </c>
    </row>
    <row r="36" spans="2:15" ht="45" customHeight="1">
      <c r="B36" s="17">
        <v>31009115</v>
      </c>
      <c r="C36" s="17">
        <v>43080120</v>
      </c>
      <c r="D36" s="17" t="s">
        <v>3</v>
      </c>
      <c r="E36" s="25" t="s">
        <v>15</v>
      </c>
      <c r="F36" s="21" t="s">
        <v>105</v>
      </c>
      <c r="G36" s="19">
        <v>1</v>
      </c>
      <c r="H36" s="20">
        <v>8.3333333333333329E-2</v>
      </c>
      <c r="I36" s="21" t="s">
        <v>154</v>
      </c>
      <c r="J36" s="21" t="s">
        <v>182</v>
      </c>
      <c r="K36" s="21" t="s">
        <v>152</v>
      </c>
      <c r="L36" s="53">
        <v>4922.6400000000003</v>
      </c>
      <c r="M36" s="45">
        <f>L36*0.8</f>
        <v>3938.1120000000005</v>
      </c>
      <c r="N36" s="45">
        <v>550</v>
      </c>
      <c r="O36" s="57">
        <v>0.08</v>
      </c>
    </row>
    <row r="37" spans="2:15" ht="30" customHeight="1">
      <c r="B37" s="17">
        <v>31009336</v>
      </c>
      <c r="C37" s="17" t="s">
        <v>176</v>
      </c>
      <c r="D37" s="21" t="s">
        <v>3</v>
      </c>
      <c r="E37" s="23" t="s">
        <v>109</v>
      </c>
      <c r="F37" s="21" t="s">
        <v>105</v>
      </c>
      <c r="G37" s="19">
        <v>1</v>
      </c>
      <c r="H37" s="20">
        <v>8.3333333333333329E-2</v>
      </c>
      <c r="I37" s="21" t="s">
        <v>145</v>
      </c>
      <c r="J37" s="21" t="s">
        <v>189</v>
      </c>
      <c r="K37" s="28" t="s">
        <v>152</v>
      </c>
      <c r="L37" s="53">
        <v>9730.8000000000011</v>
      </c>
      <c r="M37" s="45">
        <f>L37*0.8</f>
        <v>7784.6400000000012</v>
      </c>
      <c r="N37" s="45">
        <v>550</v>
      </c>
      <c r="O37" s="57">
        <v>0.08</v>
      </c>
    </row>
    <row r="38" spans="2:15" ht="30" customHeight="1">
      <c r="B38" s="17">
        <v>31009123</v>
      </c>
      <c r="C38" s="17">
        <v>53070097</v>
      </c>
      <c r="D38" s="17" t="s">
        <v>3</v>
      </c>
      <c r="E38" s="25" t="s">
        <v>227</v>
      </c>
      <c r="F38" s="21" t="s">
        <v>105</v>
      </c>
      <c r="G38" s="19">
        <v>1</v>
      </c>
      <c r="H38" s="20">
        <v>8.3333333333333329E-2</v>
      </c>
      <c r="I38" s="21" t="s">
        <v>154</v>
      </c>
      <c r="J38" s="21" t="s">
        <v>182</v>
      </c>
      <c r="K38" s="21" t="s">
        <v>152</v>
      </c>
      <c r="L38" s="53">
        <v>4922.6400000000003</v>
      </c>
      <c r="M38" s="45">
        <f>L38*0.8</f>
        <v>3938.1120000000005</v>
      </c>
      <c r="N38" s="45">
        <v>550</v>
      </c>
      <c r="O38" s="57">
        <v>0.08</v>
      </c>
    </row>
    <row r="39" spans="2:15" ht="30" customHeight="1">
      <c r="B39" s="17">
        <v>31009166</v>
      </c>
      <c r="C39" s="17">
        <v>43080162</v>
      </c>
      <c r="D39" s="17" t="s">
        <v>3</v>
      </c>
      <c r="E39" s="25" t="s">
        <v>16</v>
      </c>
      <c r="F39" s="21" t="s">
        <v>49</v>
      </c>
      <c r="G39" s="19" t="s">
        <v>81</v>
      </c>
      <c r="H39" s="20">
        <v>4.1666666666666664E-2</v>
      </c>
      <c r="I39" s="17" t="s">
        <v>176</v>
      </c>
      <c r="J39" s="17" t="s">
        <v>176</v>
      </c>
      <c r="K39" s="19" t="s">
        <v>131</v>
      </c>
      <c r="L39" s="53">
        <v>4235.76</v>
      </c>
      <c r="M39" s="45">
        <f>L39*0.7</f>
        <v>2965.0320000000002</v>
      </c>
      <c r="N39" s="45">
        <v>550</v>
      </c>
      <c r="O39" s="57">
        <v>0.08</v>
      </c>
    </row>
    <row r="40" spans="2:15" ht="53.25" customHeight="1">
      <c r="B40" s="17">
        <v>31001262</v>
      </c>
      <c r="C40" s="17">
        <v>53030508</v>
      </c>
      <c r="D40" s="17" t="s">
        <v>3</v>
      </c>
      <c r="E40" s="25" t="s">
        <v>108</v>
      </c>
      <c r="F40" s="21" t="s">
        <v>105</v>
      </c>
      <c r="G40" s="21">
        <v>1</v>
      </c>
      <c r="H40" s="20">
        <v>0.10416666666666667</v>
      </c>
      <c r="I40" s="21" t="s">
        <v>111</v>
      </c>
      <c r="J40" s="21" t="s">
        <v>180</v>
      </c>
      <c r="K40" s="26" t="s">
        <v>176</v>
      </c>
      <c r="L40" s="53">
        <v>14882.400000000001</v>
      </c>
      <c r="M40" s="45">
        <f>L40*0.8</f>
        <v>11905.920000000002</v>
      </c>
      <c r="N40" s="45">
        <v>550</v>
      </c>
      <c r="O40" s="57">
        <v>0.08</v>
      </c>
    </row>
    <row r="41" spans="2:15" ht="30" customHeight="1">
      <c r="B41" s="17">
        <v>31403379</v>
      </c>
      <c r="C41" s="17" t="s">
        <v>176</v>
      </c>
      <c r="D41" s="17" t="s">
        <v>3</v>
      </c>
      <c r="E41" s="25" t="s">
        <v>46</v>
      </c>
      <c r="F41" s="21" t="s">
        <v>49</v>
      </c>
      <c r="G41" s="21">
        <v>1</v>
      </c>
      <c r="H41" s="20">
        <v>8.3333333333333329E-2</v>
      </c>
      <c r="I41" s="21" t="s">
        <v>100</v>
      </c>
      <c r="J41" s="21" t="s">
        <v>180</v>
      </c>
      <c r="K41" s="21" t="s">
        <v>152</v>
      </c>
      <c r="L41" s="53">
        <v>7441.2000000000007</v>
      </c>
      <c r="M41" s="45">
        <f>L41*0.8</f>
        <v>5952.9600000000009</v>
      </c>
      <c r="N41" s="45">
        <v>390</v>
      </c>
      <c r="O41" s="57">
        <v>0.08</v>
      </c>
    </row>
    <row r="42" spans="2:15" ht="30" customHeight="1">
      <c r="B42" s="17"/>
      <c r="C42" s="17">
        <v>94040004</v>
      </c>
      <c r="D42" s="17" t="s">
        <v>11</v>
      </c>
      <c r="E42" s="25" t="s">
        <v>7</v>
      </c>
      <c r="F42" s="19" t="s">
        <v>77</v>
      </c>
      <c r="G42" s="21" t="s">
        <v>247</v>
      </c>
      <c r="H42" s="20"/>
      <c r="I42" s="21" t="s">
        <v>176</v>
      </c>
      <c r="J42" s="21" t="s">
        <v>176</v>
      </c>
      <c r="K42" s="21" t="s">
        <v>131</v>
      </c>
      <c r="L42" s="53">
        <v>896.37840000000006</v>
      </c>
      <c r="M42" s="45">
        <v>626.4</v>
      </c>
      <c r="N42" s="45">
        <v>500</v>
      </c>
      <c r="O42" s="57">
        <v>0.08</v>
      </c>
    </row>
    <row r="43" spans="2:15" ht="30" customHeight="1">
      <c r="B43" s="17"/>
      <c r="C43" s="17">
        <v>94010000</v>
      </c>
      <c r="D43" s="17" t="s">
        <v>11</v>
      </c>
      <c r="E43" s="25" t="s">
        <v>8</v>
      </c>
      <c r="F43" s="19" t="s">
        <v>77</v>
      </c>
      <c r="G43" s="21" t="s">
        <v>247</v>
      </c>
      <c r="H43" s="20"/>
      <c r="I43" s="21" t="s">
        <v>31</v>
      </c>
      <c r="J43" s="21" t="s">
        <v>179</v>
      </c>
      <c r="K43" s="21"/>
      <c r="L43" s="53">
        <v>975.3696000000001</v>
      </c>
      <c r="M43" s="45">
        <f>L43*0.8</f>
        <v>780.29568000000017</v>
      </c>
      <c r="N43" s="45">
        <v>500</v>
      </c>
      <c r="O43" s="57">
        <v>0.08</v>
      </c>
    </row>
    <row r="44" spans="2:15" ht="30" customHeight="1">
      <c r="B44" s="17"/>
      <c r="C44" s="17">
        <v>94040002</v>
      </c>
      <c r="D44" s="17" t="s">
        <v>11</v>
      </c>
      <c r="E44" s="25" t="s">
        <v>9</v>
      </c>
      <c r="F44" s="19" t="s">
        <v>77</v>
      </c>
      <c r="G44" s="21" t="s">
        <v>247</v>
      </c>
      <c r="H44" s="20"/>
      <c r="I44" s="21" t="s">
        <v>176</v>
      </c>
      <c r="J44" s="21" t="s">
        <v>176</v>
      </c>
      <c r="K44" s="21" t="s">
        <v>131</v>
      </c>
      <c r="L44" s="53">
        <v>913.55040000000008</v>
      </c>
      <c r="M44" s="45">
        <v>638.4</v>
      </c>
      <c r="N44" s="45">
        <v>500</v>
      </c>
      <c r="O44" s="57">
        <v>0.08</v>
      </c>
    </row>
    <row r="45" spans="2:15" ht="30" customHeight="1">
      <c r="B45" s="17"/>
      <c r="C45" s="17">
        <v>94040003</v>
      </c>
      <c r="D45" s="17" t="s">
        <v>11</v>
      </c>
      <c r="E45" s="25" t="s">
        <v>10</v>
      </c>
      <c r="F45" s="19" t="s">
        <v>77</v>
      </c>
      <c r="G45" s="21" t="s">
        <v>247</v>
      </c>
      <c r="H45" s="20"/>
      <c r="I45" s="21" t="s">
        <v>31</v>
      </c>
      <c r="J45" s="21" t="s">
        <v>179</v>
      </c>
      <c r="K45" s="21"/>
      <c r="L45" s="53">
        <v>1014.8652000000001</v>
      </c>
      <c r="M45" s="45">
        <f>L45*0.8</f>
        <v>811.8921600000001</v>
      </c>
      <c r="N45" s="45">
        <v>500</v>
      </c>
      <c r="O45" s="57">
        <v>0.08</v>
      </c>
    </row>
    <row r="46" spans="2:15" ht="30" customHeight="1">
      <c r="B46" s="17">
        <v>94010081</v>
      </c>
      <c r="C46" s="17">
        <v>94010081</v>
      </c>
      <c r="D46" s="17" t="s">
        <v>11</v>
      </c>
      <c r="E46" s="25" t="s">
        <v>12</v>
      </c>
      <c r="F46" s="21" t="s">
        <v>105</v>
      </c>
      <c r="G46" s="19">
        <v>3</v>
      </c>
      <c r="H46" s="20">
        <v>0.125</v>
      </c>
      <c r="I46" s="21" t="s">
        <v>185</v>
      </c>
      <c r="J46" s="21" t="s">
        <v>180</v>
      </c>
      <c r="K46" s="26" t="s">
        <v>176</v>
      </c>
      <c r="L46" s="53">
        <v>17629.920000000002</v>
      </c>
      <c r="M46" s="45">
        <f>L46*0.8</f>
        <v>14103.936000000002</v>
      </c>
      <c r="N46" s="45">
        <v>550</v>
      </c>
      <c r="O46" s="57">
        <v>0.08</v>
      </c>
    </row>
    <row r="47" spans="2:15" ht="25.5">
      <c r="B47" s="17">
        <v>94010082</v>
      </c>
      <c r="C47" s="17">
        <v>94010082</v>
      </c>
      <c r="D47" s="17" t="s">
        <v>11</v>
      </c>
      <c r="E47" s="25" t="s">
        <v>13</v>
      </c>
      <c r="F47" s="21" t="s">
        <v>157</v>
      </c>
      <c r="G47" s="19">
        <v>3</v>
      </c>
      <c r="H47" s="20">
        <v>0.125</v>
      </c>
      <c r="I47" s="21" t="s">
        <v>183</v>
      </c>
      <c r="J47" s="21" t="s">
        <v>184</v>
      </c>
      <c r="K47" s="26" t="s">
        <v>176</v>
      </c>
      <c r="L47" s="53">
        <v>25758</v>
      </c>
      <c r="M47" s="45">
        <f>L47*0.8</f>
        <v>20606.400000000001</v>
      </c>
      <c r="N47" s="45">
        <v>550</v>
      </c>
      <c r="O47" s="57">
        <v>0.08</v>
      </c>
    </row>
    <row r="48" spans="2:15" ht="25.5">
      <c r="B48" s="17">
        <v>94010082</v>
      </c>
      <c r="C48" s="17">
        <v>94010082</v>
      </c>
      <c r="D48" s="17" t="s">
        <v>11</v>
      </c>
      <c r="E48" s="25" t="s">
        <v>13</v>
      </c>
      <c r="F48" s="21" t="s">
        <v>157</v>
      </c>
      <c r="G48" s="19">
        <v>2</v>
      </c>
      <c r="H48" s="20">
        <v>0.125</v>
      </c>
      <c r="I48" s="21" t="s">
        <v>183</v>
      </c>
      <c r="J48" s="21" t="s">
        <v>184</v>
      </c>
      <c r="K48" s="26" t="s">
        <v>176</v>
      </c>
      <c r="L48" s="53">
        <v>20606.400000000001</v>
      </c>
      <c r="M48" s="45">
        <f>L48*0.8</f>
        <v>16485.120000000003</v>
      </c>
      <c r="N48" s="45">
        <v>550</v>
      </c>
      <c r="O48" s="57">
        <v>0.08</v>
      </c>
    </row>
    <row r="49" spans="2:15" ht="25.5">
      <c r="B49" s="17">
        <v>94010082</v>
      </c>
      <c r="C49" s="17">
        <v>94010082</v>
      </c>
      <c r="D49" s="17" t="s">
        <v>11</v>
      </c>
      <c r="E49" s="25" t="s">
        <v>13</v>
      </c>
      <c r="F49" s="21" t="s">
        <v>157</v>
      </c>
      <c r="G49" s="19">
        <v>1</v>
      </c>
      <c r="H49" s="20">
        <v>0.125</v>
      </c>
      <c r="I49" s="21" t="s">
        <v>183</v>
      </c>
      <c r="J49" s="21" t="s">
        <v>184</v>
      </c>
      <c r="K49" s="26" t="s">
        <v>176</v>
      </c>
      <c r="L49" s="53">
        <v>17172</v>
      </c>
      <c r="M49" s="45">
        <f>L49*0.8</f>
        <v>13737.6</v>
      </c>
      <c r="N49" s="45">
        <v>550</v>
      </c>
      <c r="O49" s="57">
        <v>0.08</v>
      </c>
    </row>
    <row r="50" spans="2:15" ht="30" customHeight="1">
      <c r="B50" s="17">
        <v>31309046</v>
      </c>
      <c r="C50" s="17">
        <v>45080011</v>
      </c>
      <c r="D50" s="17" t="s">
        <v>76</v>
      </c>
      <c r="E50" s="18" t="s">
        <v>68</v>
      </c>
      <c r="F50" s="19" t="s">
        <v>77</v>
      </c>
      <c r="G50" s="19" t="s">
        <v>81</v>
      </c>
      <c r="H50" s="20">
        <v>4.1666666666666664E-2</v>
      </c>
      <c r="I50" s="29" t="s">
        <v>176</v>
      </c>
      <c r="J50" s="29" t="s">
        <v>176</v>
      </c>
      <c r="K50" s="19" t="s">
        <v>131</v>
      </c>
      <c r="L50" s="53">
        <v>4006.8</v>
      </c>
      <c r="M50" s="45">
        <f>L50*0.7</f>
        <v>2804.7599999999998</v>
      </c>
      <c r="N50" s="45">
        <v>390</v>
      </c>
      <c r="O50" s="57">
        <v>0.08</v>
      </c>
    </row>
    <row r="51" spans="2:15" ht="30" customHeight="1">
      <c r="B51" s="17">
        <v>31309046</v>
      </c>
      <c r="C51" s="17">
        <v>45080011</v>
      </c>
      <c r="D51" s="17" t="s">
        <v>76</v>
      </c>
      <c r="E51" s="18" t="s">
        <v>68</v>
      </c>
      <c r="F51" s="21" t="s">
        <v>149</v>
      </c>
      <c r="G51" s="19" t="s">
        <v>81</v>
      </c>
      <c r="H51" s="20">
        <v>4.1666666666666664E-2</v>
      </c>
      <c r="I51" s="29" t="s">
        <v>176</v>
      </c>
      <c r="J51" s="29" t="s">
        <v>176</v>
      </c>
      <c r="K51" s="19" t="s">
        <v>131</v>
      </c>
      <c r="L51" s="53">
        <v>4808.1600000000008</v>
      </c>
      <c r="M51" s="45">
        <f>L51*0.7</f>
        <v>3365.7120000000004</v>
      </c>
      <c r="N51" s="45">
        <v>390</v>
      </c>
      <c r="O51" s="57">
        <v>0.08</v>
      </c>
    </row>
    <row r="52" spans="2:15" ht="30" customHeight="1">
      <c r="B52" s="29">
        <v>31303056</v>
      </c>
      <c r="C52" s="17">
        <v>45050031</v>
      </c>
      <c r="D52" s="17" t="s">
        <v>76</v>
      </c>
      <c r="E52" s="18" t="s">
        <v>78</v>
      </c>
      <c r="F52" s="21" t="s">
        <v>105</v>
      </c>
      <c r="G52" s="19">
        <v>1</v>
      </c>
      <c r="H52" s="20">
        <v>4.1666666666666664E-2</v>
      </c>
      <c r="I52" s="29" t="s">
        <v>176</v>
      </c>
      <c r="J52" s="29" t="s">
        <v>176</v>
      </c>
      <c r="K52" s="30" t="s">
        <v>132</v>
      </c>
      <c r="L52" s="53">
        <v>4808.1600000000008</v>
      </c>
      <c r="M52" s="45">
        <f>L52*0.7</f>
        <v>3365.7120000000004</v>
      </c>
      <c r="N52" s="45">
        <v>550</v>
      </c>
      <c r="O52" s="57">
        <v>0.08</v>
      </c>
    </row>
    <row r="53" spans="2:15" s="41" customFormat="1" ht="30" customHeight="1">
      <c r="B53" s="17">
        <v>30602092</v>
      </c>
      <c r="C53" s="17">
        <v>47010177</v>
      </c>
      <c r="D53" s="17" t="s">
        <v>76</v>
      </c>
      <c r="E53" s="18" t="s">
        <v>69</v>
      </c>
      <c r="F53" s="21" t="s">
        <v>105</v>
      </c>
      <c r="G53" s="19" t="s">
        <v>81</v>
      </c>
      <c r="H53" s="20">
        <v>4.1666666666666664E-2</v>
      </c>
      <c r="I53" s="29" t="s">
        <v>176</v>
      </c>
      <c r="J53" s="29" t="s">
        <v>176</v>
      </c>
      <c r="K53" s="30" t="s">
        <v>135</v>
      </c>
      <c r="L53" s="53">
        <v>5151.6000000000004</v>
      </c>
      <c r="M53" s="45">
        <f>L53*0.7</f>
        <v>3606.12</v>
      </c>
      <c r="N53" s="45">
        <v>550</v>
      </c>
      <c r="O53" s="57">
        <v>0.08</v>
      </c>
    </row>
    <row r="54" spans="2:15" ht="30" customHeight="1">
      <c r="B54" s="29">
        <v>31303102</v>
      </c>
      <c r="C54" s="17">
        <v>53040120</v>
      </c>
      <c r="D54" s="17" t="s">
        <v>76</v>
      </c>
      <c r="E54" s="18" t="s">
        <v>72</v>
      </c>
      <c r="F54" s="21" t="s">
        <v>105</v>
      </c>
      <c r="G54" s="19">
        <v>3</v>
      </c>
      <c r="H54" s="20">
        <v>0.125</v>
      </c>
      <c r="I54" s="30" t="s">
        <v>176</v>
      </c>
      <c r="J54" s="29" t="s">
        <v>176</v>
      </c>
      <c r="K54" s="30" t="s">
        <v>135</v>
      </c>
      <c r="L54" s="53">
        <v>13165.2</v>
      </c>
      <c r="M54" s="45">
        <f>L54*0.7</f>
        <v>9215.64</v>
      </c>
      <c r="N54" s="61" t="s">
        <v>256</v>
      </c>
      <c r="O54" s="57">
        <v>0.08</v>
      </c>
    </row>
    <row r="55" spans="2:15" ht="30" customHeight="1">
      <c r="B55" s="17">
        <v>31303218</v>
      </c>
      <c r="C55" s="29" t="s">
        <v>176</v>
      </c>
      <c r="D55" s="17" t="s">
        <v>76</v>
      </c>
      <c r="E55" s="18" t="s">
        <v>73</v>
      </c>
      <c r="F55" s="21" t="s">
        <v>105</v>
      </c>
      <c r="G55" s="19">
        <v>2</v>
      </c>
      <c r="H55" s="20">
        <v>0.16666666666666666</v>
      </c>
      <c r="I55" s="30" t="s">
        <v>158</v>
      </c>
      <c r="J55" s="30" t="s">
        <v>203</v>
      </c>
      <c r="K55" s="21" t="s">
        <v>159</v>
      </c>
      <c r="L55" s="53">
        <v>18316.800000000003</v>
      </c>
      <c r="M55" s="45">
        <f>L55*0.8</f>
        <v>14653.440000000002</v>
      </c>
      <c r="N55" s="61" t="s">
        <v>256</v>
      </c>
      <c r="O55" s="57">
        <v>0.08</v>
      </c>
    </row>
    <row r="56" spans="2:15" ht="30" customHeight="1">
      <c r="B56" s="17">
        <v>31303188</v>
      </c>
      <c r="C56" s="17">
        <v>45020060</v>
      </c>
      <c r="D56" s="17" t="s">
        <v>76</v>
      </c>
      <c r="E56" s="25" t="s">
        <v>71</v>
      </c>
      <c r="F56" s="21" t="s">
        <v>105</v>
      </c>
      <c r="G56" s="19">
        <v>1</v>
      </c>
      <c r="H56" s="20">
        <v>6.25E-2</v>
      </c>
      <c r="I56" s="30" t="s">
        <v>112</v>
      </c>
      <c r="J56" s="29" t="s">
        <v>176</v>
      </c>
      <c r="K56" s="30" t="s">
        <v>135</v>
      </c>
      <c r="L56" s="53">
        <v>6868.8</v>
      </c>
      <c r="M56" s="45">
        <f>L56*0.8</f>
        <v>5495.0400000000009</v>
      </c>
      <c r="N56" s="45">
        <v>390</v>
      </c>
      <c r="O56" s="57">
        <v>0.08</v>
      </c>
    </row>
    <row r="57" spans="2:15" ht="30" customHeight="1">
      <c r="B57" s="17">
        <v>31303188</v>
      </c>
      <c r="C57" s="17">
        <v>45020060</v>
      </c>
      <c r="D57" s="17" t="s">
        <v>76</v>
      </c>
      <c r="E57" s="25" t="s">
        <v>71</v>
      </c>
      <c r="F57" s="19" t="s">
        <v>77</v>
      </c>
      <c r="G57" s="21" t="s">
        <v>247</v>
      </c>
      <c r="H57" s="20">
        <v>4.1666666666666664E-2</v>
      </c>
      <c r="I57" s="30" t="s">
        <v>112</v>
      </c>
      <c r="J57" s="29" t="s">
        <v>176</v>
      </c>
      <c r="K57" s="30" t="s">
        <v>135</v>
      </c>
      <c r="L57" s="53">
        <v>4235.76</v>
      </c>
      <c r="M57" s="45">
        <f>L57*0.8</f>
        <v>3388.6080000000002</v>
      </c>
      <c r="N57" s="45">
        <v>390</v>
      </c>
      <c r="O57" s="57">
        <v>0.08</v>
      </c>
    </row>
    <row r="58" spans="2:15" ht="25.5">
      <c r="B58" s="17">
        <v>31303170</v>
      </c>
      <c r="C58" s="17">
        <v>45020051</v>
      </c>
      <c r="D58" s="17" t="s">
        <v>76</v>
      </c>
      <c r="E58" s="18" t="s">
        <v>70</v>
      </c>
      <c r="F58" s="19" t="s">
        <v>77</v>
      </c>
      <c r="G58" s="21" t="s">
        <v>247</v>
      </c>
      <c r="H58" s="20">
        <v>4.1666666666666664E-2</v>
      </c>
      <c r="I58" s="30" t="s">
        <v>112</v>
      </c>
      <c r="J58" s="29" t="s">
        <v>176</v>
      </c>
      <c r="K58" s="30" t="s">
        <v>135</v>
      </c>
      <c r="L58" s="53">
        <v>4235.76</v>
      </c>
      <c r="M58" s="45">
        <f>L58*0.8</f>
        <v>3388.6080000000002</v>
      </c>
      <c r="N58" s="45">
        <v>390</v>
      </c>
      <c r="O58" s="57">
        <v>0.08</v>
      </c>
    </row>
    <row r="59" spans="2:15" ht="30" customHeight="1">
      <c r="B59" s="17">
        <v>31103332</v>
      </c>
      <c r="C59" s="29" t="s">
        <v>176</v>
      </c>
      <c r="D59" s="17" t="s">
        <v>76</v>
      </c>
      <c r="E59" s="25" t="s">
        <v>218</v>
      </c>
      <c r="F59" s="21" t="s">
        <v>105</v>
      </c>
      <c r="G59" s="19">
        <v>1</v>
      </c>
      <c r="H59" s="20">
        <v>4.1666666666666664E-2</v>
      </c>
      <c r="I59" s="29" t="s">
        <v>176</v>
      </c>
      <c r="J59" s="29" t="s">
        <v>176</v>
      </c>
      <c r="K59" s="19" t="s">
        <v>133</v>
      </c>
      <c r="L59" s="53">
        <v>6410.88</v>
      </c>
      <c r="M59" s="45">
        <f>L59*0.7</f>
        <v>4487.616</v>
      </c>
      <c r="N59" s="45" t="s">
        <v>176</v>
      </c>
      <c r="O59" s="57">
        <v>0.08</v>
      </c>
    </row>
    <row r="60" spans="2:15" ht="30" customHeight="1">
      <c r="B60" s="17">
        <v>31103332</v>
      </c>
      <c r="C60" s="29" t="s">
        <v>176</v>
      </c>
      <c r="D60" s="17" t="s">
        <v>76</v>
      </c>
      <c r="E60" s="25" t="s">
        <v>218</v>
      </c>
      <c r="F60" s="21" t="s">
        <v>105</v>
      </c>
      <c r="G60" s="19" t="s">
        <v>81</v>
      </c>
      <c r="H60" s="20">
        <v>4.1666666666666664E-2</v>
      </c>
      <c r="I60" s="29" t="s">
        <v>176</v>
      </c>
      <c r="J60" s="29" t="s">
        <v>176</v>
      </c>
      <c r="K60" s="19" t="s">
        <v>133</v>
      </c>
      <c r="L60" s="53">
        <v>4808.1600000000008</v>
      </c>
      <c r="M60" s="45">
        <f>L60*0.7</f>
        <v>3365.7120000000004</v>
      </c>
      <c r="N60" s="45" t="s">
        <v>176</v>
      </c>
      <c r="O60" s="57">
        <v>0.08</v>
      </c>
    </row>
    <row r="61" spans="2:15" ht="30" customHeight="1">
      <c r="B61" s="29">
        <v>31303269</v>
      </c>
      <c r="C61" s="29" t="s">
        <v>176</v>
      </c>
      <c r="D61" s="17" t="s">
        <v>76</v>
      </c>
      <c r="E61" s="18" t="s">
        <v>74</v>
      </c>
      <c r="F61" s="19" t="s">
        <v>77</v>
      </c>
      <c r="G61" s="21" t="s">
        <v>247</v>
      </c>
      <c r="H61" s="20">
        <v>4.1666666666666664E-2</v>
      </c>
      <c r="I61" s="30" t="s">
        <v>113</v>
      </c>
      <c r="J61" s="30" t="s">
        <v>179</v>
      </c>
      <c r="K61" s="31" t="s">
        <v>176</v>
      </c>
      <c r="L61" s="53">
        <v>2289.6000000000004</v>
      </c>
      <c r="M61" s="45">
        <f>L61*0.8</f>
        <v>1831.6800000000003</v>
      </c>
      <c r="N61" s="45" t="s">
        <v>176</v>
      </c>
      <c r="O61" s="57">
        <v>0.08</v>
      </c>
    </row>
    <row r="62" spans="2:15" ht="30" customHeight="1">
      <c r="B62" s="17" t="s">
        <v>219</v>
      </c>
      <c r="C62" s="29" t="s">
        <v>176</v>
      </c>
      <c r="D62" s="17" t="s">
        <v>76</v>
      </c>
      <c r="E62" s="25" t="s">
        <v>115</v>
      </c>
      <c r="F62" s="21" t="s">
        <v>105</v>
      </c>
      <c r="G62" s="19">
        <v>1</v>
      </c>
      <c r="H62" s="20">
        <v>0.125</v>
      </c>
      <c r="I62" s="21" t="s">
        <v>116</v>
      </c>
      <c r="J62" s="30" t="s">
        <v>180</v>
      </c>
      <c r="K62" s="21" t="s">
        <v>161</v>
      </c>
      <c r="L62" s="53">
        <v>13737.6</v>
      </c>
      <c r="M62" s="45">
        <f>L62*0.8</f>
        <v>10990.080000000002</v>
      </c>
      <c r="N62" s="45">
        <v>700</v>
      </c>
      <c r="O62" s="57">
        <v>0.08</v>
      </c>
    </row>
    <row r="63" spans="2:15" ht="30" customHeight="1">
      <c r="B63" s="17">
        <v>94010070</v>
      </c>
      <c r="C63" s="17">
        <v>94010070</v>
      </c>
      <c r="D63" s="17" t="s">
        <v>76</v>
      </c>
      <c r="E63" s="25" t="s">
        <v>117</v>
      </c>
      <c r="F63" s="21" t="s">
        <v>105</v>
      </c>
      <c r="G63" s="19">
        <v>1</v>
      </c>
      <c r="H63" s="20">
        <v>8.3333333333333329E-2</v>
      </c>
      <c r="I63" s="21" t="s">
        <v>43</v>
      </c>
      <c r="J63" s="30" t="s">
        <v>180</v>
      </c>
      <c r="K63" s="21" t="s">
        <v>144</v>
      </c>
      <c r="L63" s="53">
        <v>4922.6400000000003</v>
      </c>
      <c r="M63" s="45">
        <f>L63*0.8</f>
        <v>3938.1120000000005</v>
      </c>
      <c r="N63" s="45">
        <v>700</v>
      </c>
      <c r="O63" s="57">
        <v>0.08</v>
      </c>
    </row>
    <row r="64" spans="2:15" ht="30" customHeight="1">
      <c r="B64" s="29">
        <v>31304010</v>
      </c>
      <c r="C64" s="29" t="s">
        <v>176</v>
      </c>
      <c r="D64" s="17" t="s">
        <v>76</v>
      </c>
      <c r="E64" s="18" t="s">
        <v>205</v>
      </c>
      <c r="F64" s="21" t="s">
        <v>149</v>
      </c>
      <c r="G64" s="19" t="s">
        <v>81</v>
      </c>
      <c r="H64" s="20">
        <v>8.3333333333333329E-2</v>
      </c>
      <c r="I64" s="21" t="s">
        <v>176</v>
      </c>
      <c r="J64" s="29" t="s">
        <v>176</v>
      </c>
      <c r="K64" s="19" t="s">
        <v>160</v>
      </c>
      <c r="L64" s="53">
        <v>4808.1600000000008</v>
      </c>
      <c r="M64" s="45">
        <f>L64*0.7</f>
        <v>3365.7120000000004</v>
      </c>
      <c r="N64" s="45">
        <v>550</v>
      </c>
      <c r="O64" s="57">
        <v>0.08</v>
      </c>
    </row>
    <row r="65" spans="2:15" ht="30" customHeight="1">
      <c r="B65" s="17">
        <v>31304052</v>
      </c>
      <c r="C65" s="29" t="s">
        <v>176</v>
      </c>
      <c r="D65" s="17" t="s">
        <v>76</v>
      </c>
      <c r="E65" s="25" t="s">
        <v>206</v>
      </c>
      <c r="F65" s="21" t="s">
        <v>105</v>
      </c>
      <c r="G65" s="19" t="s">
        <v>81</v>
      </c>
      <c r="H65" s="20">
        <v>8.3333333333333329E-2</v>
      </c>
      <c r="I65" s="21" t="s">
        <v>114</v>
      </c>
      <c r="J65" s="29" t="s">
        <v>180</v>
      </c>
      <c r="K65" s="19" t="s">
        <v>160</v>
      </c>
      <c r="L65" s="53">
        <v>6868.8</v>
      </c>
      <c r="M65" s="45">
        <f>L65*0.8</f>
        <v>5495.0400000000009</v>
      </c>
      <c r="N65" s="45">
        <v>550</v>
      </c>
      <c r="O65" s="57">
        <v>0.08</v>
      </c>
    </row>
    <row r="66" spans="2:15" ht="30" customHeight="1">
      <c r="B66" s="17">
        <v>31305016</v>
      </c>
      <c r="C66" s="17">
        <v>45070016</v>
      </c>
      <c r="D66" s="17" t="s">
        <v>76</v>
      </c>
      <c r="E66" s="18" t="s">
        <v>75</v>
      </c>
      <c r="F66" s="21" t="s">
        <v>105</v>
      </c>
      <c r="G66" s="19">
        <v>1</v>
      </c>
      <c r="H66" s="20">
        <v>8.3333333333333329E-2</v>
      </c>
      <c r="I66" s="29" t="s">
        <v>176</v>
      </c>
      <c r="J66" s="29" t="s">
        <v>176</v>
      </c>
      <c r="K66" s="19" t="s">
        <v>160</v>
      </c>
      <c r="L66" s="53">
        <v>6754.3200000000006</v>
      </c>
      <c r="M66" s="45">
        <f t="shared" ref="M66:M75" si="2">L66*0.7</f>
        <v>4728.0240000000003</v>
      </c>
      <c r="N66" s="45">
        <v>550</v>
      </c>
      <c r="O66" s="57">
        <v>0.08</v>
      </c>
    </row>
    <row r="67" spans="2:15" ht="30" customHeight="1">
      <c r="B67" s="17">
        <v>94010002</v>
      </c>
      <c r="C67" s="17">
        <v>45080194</v>
      </c>
      <c r="D67" s="17" t="s">
        <v>76</v>
      </c>
      <c r="E67" s="25" t="s">
        <v>18</v>
      </c>
      <c r="F67" s="21" t="s">
        <v>156</v>
      </c>
      <c r="G67" s="19">
        <v>3</v>
      </c>
      <c r="H67" s="20"/>
      <c r="I67" s="29" t="s">
        <v>176</v>
      </c>
      <c r="J67" s="29" t="s">
        <v>176</v>
      </c>
      <c r="K67" s="21" t="s">
        <v>131</v>
      </c>
      <c r="L67" s="53">
        <v>9500</v>
      </c>
      <c r="M67" s="45">
        <f t="shared" si="2"/>
        <v>6650</v>
      </c>
      <c r="N67" s="45" t="s">
        <v>257</v>
      </c>
      <c r="O67" s="57">
        <v>0.08</v>
      </c>
    </row>
    <row r="68" spans="2:15" ht="30" customHeight="1">
      <c r="B68" s="17">
        <v>94010050</v>
      </c>
      <c r="C68" s="17">
        <v>45080100</v>
      </c>
      <c r="D68" s="17" t="s">
        <v>76</v>
      </c>
      <c r="E68" s="25" t="s">
        <v>19</v>
      </c>
      <c r="F68" s="21" t="s">
        <v>156</v>
      </c>
      <c r="G68" s="19">
        <v>3</v>
      </c>
      <c r="H68" s="20"/>
      <c r="I68" s="29" t="s">
        <v>176</v>
      </c>
      <c r="J68" s="29" t="s">
        <v>176</v>
      </c>
      <c r="K68" s="21" t="s">
        <v>131</v>
      </c>
      <c r="L68" s="53">
        <f>L67*1.3</f>
        <v>12350</v>
      </c>
      <c r="M68" s="45">
        <f>L68*0.7</f>
        <v>8645</v>
      </c>
      <c r="N68" s="45" t="s">
        <v>257</v>
      </c>
      <c r="O68" s="57">
        <v>0.08</v>
      </c>
    </row>
    <row r="69" spans="2:15" ht="30" customHeight="1">
      <c r="B69" s="17">
        <v>94010003</v>
      </c>
      <c r="C69" s="17">
        <v>45080186</v>
      </c>
      <c r="D69" s="17" t="s">
        <v>76</v>
      </c>
      <c r="E69" s="18" t="s">
        <v>20</v>
      </c>
      <c r="F69" s="19" t="s">
        <v>146</v>
      </c>
      <c r="G69" s="19">
        <v>3</v>
      </c>
      <c r="H69" s="20"/>
      <c r="I69" s="29" t="s">
        <v>176</v>
      </c>
      <c r="J69" s="29" t="s">
        <v>176</v>
      </c>
      <c r="K69" s="19" t="s">
        <v>131</v>
      </c>
      <c r="L69" s="53">
        <v>9000</v>
      </c>
      <c r="M69" s="45">
        <f t="shared" si="2"/>
        <v>6300</v>
      </c>
      <c r="N69" s="45" t="s">
        <v>257</v>
      </c>
      <c r="O69" s="57">
        <v>0.08</v>
      </c>
    </row>
    <row r="70" spans="2:15" ht="30" customHeight="1">
      <c r="B70" s="17">
        <v>94010051</v>
      </c>
      <c r="C70" s="17">
        <v>94010051</v>
      </c>
      <c r="D70" s="17" t="s">
        <v>76</v>
      </c>
      <c r="E70" s="25" t="s">
        <v>21</v>
      </c>
      <c r="F70" s="19" t="s">
        <v>146</v>
      </c>
      <c r="G70" s="19">
        <v>3</v>
      </c>
      <c r="H70" s="20"/>
      <c r="I70" s="29" t="s">
        <v>176</v>
      </c>
      <c r="J70" s="29" t="s">
        <v>176</v>
      </c>
      <c r="K70" s="19" t="s">
        <v>131</v>
      </c>
      <c r="L70" s="53">
        <f>L69*1.3</f>
        <v>11700</v>
      </c>
      <c r="M70" s="45">
        <f t="shared" si="2"/>
        <v>8189.9999999999991</v>
      </c>
      <c r="N70" s="45" t="s">
        <v>257</v>
      </c>
      <c r="O70" s="57">
        <v>0.08</v>
      </c>
    </row>
    <row r="71" spans="2:15" ht="30" customHeight="1">
      <c r="B71" s="17">
        <v>30724058</v>
      </c>
      <c r="C71" s="17">
        <v>52110052</v>
      </c>
      <c r="D71" s="17" t="s">
        <v>80</v>
      </c>
      <c r="E71" s="25" t="s">
        <v>141</v>
      </c>
      <c r="F71" s="21" t="s">
        <v>105</v>
      </c>
      <c r="G71" s="19">
        <v>3</v>
      </c>
      <c r="H71" s="20">
        <v>0.16666666666666666</v>
      </c>
      <c r="I71" s="26" t="s">
        <v>176</v>
      </c>
      <c r="J71" s="26" t="s">
        <v>176</v>
      </c>
      <c r="K71" s="21" t="s">
        <v>148</v>
      </c>
      <c r="L71" s="53">
        <v>20034</v>
      </c>
      <c r="M71" s="45">
        <f t="shared" si="2"/>
        <v>14023.8</v>
      </c>
      <c r="N71" s="45" t="s">
        <v>176</v>
      </c>
      <c r="O71" s="57">
        <v>0.08</v>
      </c>
    </row>
    <row r="72" spans="2:15" ht="30" customHeight="1">
      <c r="B72" s="29">
        <v>30726034</v>
      </c>
      <c r="C72" s="17">
        <v>52130045</v>
      </c>
      <c r="D72" s="17" t="s">
        <v>80</v>
      </c>
      <c r="E72" s="18" t="s">
        <v>79</v>
      </c>
      <c r="F72" s="21" t="s">
        <v>105</v>
      </c>
      <c r="G72" s="19">
        <v>3</v>
      </c>
      <c r="H72" s="20">
        <v>0.125</v>
      </c>
      <c r="I72" s="21" t="s">
        <v>176</v>
      </c>
      <c r="J72" s="21" t="s">
        <v>176</v>
      </c>
      <c r="K72" s="31" t="s">
        <v>176</v>
      </c>
      <c r="L72" s="53">
        <v>17280</v>
      </c>
      <c r="M72" s="45">
        <f t="shared" si="2"/>
        <v>12096</v>
      </c>
      <c r="N72" s="45">
        <v>390</v>
      </c>
      <c r="O72" s="57">
        <v>0.08</v>
      </c>
    </row>
    <row r="73" spans="2:15" ht="30" customHeight="1">
      <c r="B73" s="29">
        <v>30726034</v>
      </c>
      <c r="C73" s="17">
        <v>52130045</v>
      </c>
      <c r="D73" s="17" t="s">
        <v>80</v>
      </c>
      <c r="E73" s="18" t="s">
        <v>79</v>
      </c>
      <c r="F73" s="21" t="s">
        <v>105</v>
      </c>
      <c r="G73" s="19">
        <v>2</v>
      </c>
      <c r="H73" s="20">
        <v>0.125</v>
      </c>
      <c r="I73" s="21" t="s">
        <v>176</v>
      </c>
      <c r="J73" s="21" t="s">
        <v>176</v>
      </c>
      <c r="K73" s="31" t="s">
        <v>176</v>
      </c>
      <c r="L73" s="53">
        <v>14580.000000000002</v>
      </c>
      <c r="M73" s="45">
        <f t="shared" si="2"/>
        <v>10206</v>
      </c>
      <c r="N73" s="45">
        <v>390</v>
      </c>
      <c r="O73" s="57">
        <v>0.08</v>
      </c>
    </row>
    <row r="74" spans="2:15" ht="30" customHeight="1">
      <c r="B74" s="17">
        <v>30735076</v>
      </c>
      <c r="C74" s="29" t="s">
        <v>176</v>
      </c>
      <c r="D74" s="17" t="s">
        <v>80</v>
      </c>
      <c r="E74" s="25" t="s">
        <v>138</v>
      </c>
      <c r="F74" s="21" t="s">
        <v>105</v>
      </c>
      <c r="G74" s="19">
        <v>1</v>
      </c>
      <c r="H74" s="20">
        <v>8.3333333333333329E-2</v>
      </c>
      <c r="I74" s="26" t="s">
        <v>176</v>
      </c>
      <c r="J74" s="26" t="s">
        <v>176</v>
      </c>
      <c r="K74" s="19" t="s">
        <v>131</v>
      </c>
      <c r="L74" s="53">
        <v>8586</v>
      </c>
      <c r="M74" s="45">
        <f t="shared" si="2"/>
        <v>6010.2</v>
      </c>
      <c r="N74" s="45" t="s">
        <v>176</v>
      </c>
      <c r="O74" s="57">
        <v>0.08</v>
      </c>
    </row>
    <row r="75" spans="2:15" ht="25.5" customHeight="1">
      <c r="B75" s="17">
        <v>30735050</v>
      </c>
      <c r="C75" s="29" t="s">
        <v>176</v>
      </c>
      <c r="D75" s="17" t="s">
        <v>80</v>
      </c>
      <c r="E75" s="25" t="s">
        <v>140</v>
      </c>
      <c r="F75" s="21" t="s">
        <v>105</v>
      </c>
      <c r="G75" s="19">
        <v>1</v>
      </c>
      <c r="H75" s="20">
        <v>8.3333333333333329E-2</v>
      </c>
      <c r="I75" s="26" t="s">
        <v>176</v>
      </c>
      <c r="J75" s="26" t="s">
        <v>176</v>
      </c>
      <c r="K75" s="19" t="s">
        <v>131</v>
      </c>
      <c r="L75" s="53">
        <v>8586</v>
      </c>
      <c r="M75" s="45">
        <f t="shared" si="2"/>
        <v>6010.2</v>
      </c>
      <c r="N75" s="45" t="s">
        <v>176</v>
      </c>
      <c r="O75" s="57">
        <v>0.08</v>
      </c>
    </row>
    <row r="76" spans="2:15" ht="39" customHeight="1">
      <c r="B76" s="17" t="s">
        <v>221</v>
      </c>
      <c r="C76" s="29" t="s">
        <v>176</v>
      </c>
      <c r="D76" s="17" t="s">
        <v>80</v>
      </c>
      <c r="E76" s="25" t="s">
        <v>222</v>
      </c>
      <c r="F76" s="21" t="s">
        <v>105</v>
      </c>
      <c r="G76" s="19">
        <v>1</v>
      </c>
      <c r="H76" s="20">
        <v>0.125</v>
      </c>
      <c r="I76" s="21" t="s">
        <v>147</v>
      </c>
      <c r="J76" s="21" t="s">
        <v>204</v>
      </c>
      <c r="K76" s="19" t="s">
        <v>162</v>
      </c>
      <c r="L76" s="53">
        <v>10875.6</v>
      </c>
      <c r="M76" s="45">
        <f>L76*0.8</f>
        <v>8700.4800000000014</v>
      </c>
      <c r="N76" s="45">
        <v>390</v>
      </c>
      <c r="O76" s="57">
        <v>0.08</v>
      </c>
    </row>
    <row r="77" spans="2:15" ht="30" customHeight="1">
      <c r="B77" s="17">
        <v>30733057</v>
      </c>
      <c r="C77" s="17">
        <v>52130061</v>
      </c>
      <c r="D77" s="17" t="s">
        <v>80</v>
      </c>
      <c r="E77" s="25" t="s">
        <v>136</v>
      </c>
      <c r="F77" s="21" t="s">
        <v>105</v>
      </c>
      <c r="G77" s="19">
        <v>1</v>
      </c>
      <c r="H77" s="20">
        <v>8.3333333333333329E-2</v>
      </c>
      <c r="I77" s="21" t="s">
        <v>147</v>
      </c>
      <c r="J77" s="21" t="s">
        <v>204</v>
      </c>
      <c r="K77" s="31" t="s">
        <v>176</v>
      </c>
      <c r="L77" s="53">
        <v>9158.4000000000015</v>
      </c>
      <c r="M77" s="45">
        <f>L77*0.8</f>
        <v>7326.7200000000012</v>
      </c>
      <c r="N77" s="45">
        <v>390</v>
      </c>
      <c r="O77" s="57">
        <v>0.08</v>
      </c>
    </row>
    <row r="78" spans="2:15" ht="30" customHeight="1">
      <c r="B78" s="17">
        <v>30733073</v>
      </c>
      <c r="C78" s="17">
        <v>52130061</v>
      </c>
      <c r="D78" s="17" t="s">
        <v>80</v>
      </c>
      <c r="E78" s="25" t="s">
        <v>137</v>
      </c>
      <c r="F78" s="21" t="s">
        <v>105</v>
      </c>
      <c r="G78" s="19">
        <v>1</v>
      </c>
      <c r="H78" s="20">
        <v>8.3333333333333329E-2</v>
      </c>
      <c r="I78" s="26" t="s">
        <v>176</v>
      </c>
      <c r="J78" s="26" t="s">
        <v>176</v>
      </c>
      <c r="K78" s="19" t="s">
        <v>131</v>
      </c>
      <c r="L78" s="53">
        <v>8586</v>
      </c>
      <c r="M78" s="45">
        <f t="shared" ref="M78:M89" si="3">L78*0.7</f>
        <v>6010.2</v>
      </c>
      <c r="N78" s="45" t="s">
        <v>176</v>
      </c>
      <c r="O78" s="57">
        <v>0.08</v>
      </c>
    </row>
    <row r="79" spans="2:15" ht="30" customHeight="1">
      <c r="B79" s="17">
        <v>30735068</v>
      </c>
      <c r="C79" s="29" t="s">
        <v>176</v>
      </c>
      <c r="D79" s="17" t="s">
        <v>80</v>
      </c>
      <c r="E79" s="25" t="s">
        <v>139</v>
      </c>
      <c r="F79" s="21" t="s">
        <v>105</v>
      </c>
      <c r="G79" s="19">
        <v>1</v>
      </c>
      <c r="H79" s="20">
        <v>8.3333333333333329E-2</v>
      </c>
      <c r="I79" s="26" t="s">
        <v>176</v>
      </c>
      <c r="J79" s="26" t="s">
        <v>176</v>
      </c>
      <c r="K79" s="19" t="s">
        <v>131</v>
      </c>
      <c r="L79" s="53">
        <v>8586</v>
      </c>
      <c r="M79" s="45">
        <f t="shared" si="3"/>
        <v>6010.2</v>
      </c>
      <c r="N79" s="45" t="s">
        <v>176</v>
      </c>
      <c r="O79" s="57">
        <v>0.08</v>
      </c>
    </row>
    <row r="80" spans="2:15" ht="30" customHeight="1">
      <c r="B80" s="17">
        <v>30205034</v>
      </c>
      <c r="C80" s="17">
        <v>51050030</v>
      </c>
      <c r="D80" s="17" t="s">
        <v>2</v>
      </c>
      <c r="E80" s="18" t="s">
        <v>173</v>
      </c>
      <c r="F80" s="21" t="s">
        <v>122</v>
      </c>
      <c r="G80" s="19" t="s">
        <v>81</v>
      </c>
      <c r="H80" s="20">
        <v>4.1666666666666664E-2</v>
      </c>
      <c r="I80" s="26" t="s">
        <v>176</v>
      </c>
      <c r="J80" s="26"/>
      <c r="K80" s="19" t="s">
        <v>129</v>
      </c>
      <c r="L80" s="53">
        <v>4235.76</v>
      </c>
      <c r="M80" s="45">
        <f t="shared" si="3"/>
        <v>2965.0320000000002</v>
      </c>
      <c r="N80" s="45">
        <v>550</v>
      </c>
      <c r="O80" s="57">
        <v>0.08</v>
      </c>
    </row>
    <row r="81" spans="2:17" ht="30" customHeight="1">
      <c r="B81" s="17">
        <v>30205050</v>
      </c>
      <c r="C81" s="17">
        <v>51050021</v>
      </c>
      <c r="D81" s="17" t="s">
        <v>2</v>
      </c>
      <c r="E81" s="18" t="s">
        <v>126</v>
      </c>
      <c r="F81" s="21" t="s">
        <v>122</v>
      </c>
      <c r="G81" s="19" t="s">
        <v>81</v>
      </c>
      <c r="H81" s="20">
        <v>4.1666666666666664E-2</v>
      </c>
      <c r="I81" s="26" t="s">
        <v>176</v>
      </c>
      <c r="J81" s="26"/>
      <c r="K81" s="19" t="s">
        <v>129</v>
      </c>
      <c r="L81" s="53">
        <v>4235.76</v>
      </c>
      <c r="M81" s="45">
        <f t="shared" si="3"/>
        <v>2965.0320000000002</v>
      </c>
      <c r="N81" s="45">
        <v>550</v>
      </c>
      <c r="O81" s="57">
        <v>0.08</v>
      </c>
    </row>
    <row r="82" spans="2:17" ht="30" customHeight="1">
      <c r="B82" s="17">
        <v>30203015</v>
      </c>
      <c r="C82" s="17">
        <v>51050153</v>
      </c>
      <c r="D82" s="17" t="s">
        <v>2</v>
      </c>
      <c r="E82" s="18" t="s">
        <v>127</v>
      </c>
      <c r="F82" s="21" t="s">
        <v>122</v>
      </c>
      <c r="G82" s="19" t="s">
        <v>81</v>
      </c>
      <c r="H82" s="20">
        <v>4.1666666666666664E-2</v>
      </c>
      <c r="I82" s="26" t="s">
        <v>176</v>
      </c>
      <c r="J82" s="26"/>
      <c r="K82" s="19" t="s">
        <v>129</v>
      </c>
      <c r="L82" s="53">
        <v>3090.96</v>
      </c>
      <c r="M82" s="45">
        <f t="shared" si="3"/>
        <v>2163.672</v>
      </c>
      <c r="N82" s="45" t="s">
        <v>176</v>
      </c>
      <c r="O82" s="57">
        <v>0.08</v>
      </c>
    </row>
    <row r="83" spans="2:17" ht="30" customHeight="1">
      <c r="B83" s="17">
        <v>30206251</v>
      </c>
      <c r="C83" s="29" t="s">
        <v>176</v>
      </c>
      <c r="D83" s="17" t="s">
        <v>2</v>
      </c>
      <c r="E83" s="25" t="s">
        <v>128</v>
      </c>
      <c r="F83" s="21" t="s">
        <v>122</v>
      </c>
      <c r="G83" s="19">
        <v>1</v>
      </c>
      <c r="H83" s="20">
        <v>4.1666666666666664E-2</v>
      </c>
      <c r="I83" s="26" t="s">
        <v>176</v>
      </c>
      <c r="J83" s="26"/>
      <c r="K83" s="21" t="s">
        <v>196</v>
      </c>
      <c r="L83" s="53">
        <v>6037.2000000000007</v>
      </c>
      <c r="M83" s="45">
        <f t="shared" si="3"/>
        <v>4226.04</v>
      </c>
      <c r="N83" s="45">
        <v>390</v>
      </c>
      <c r="O83" s="56" t="s">
        <v>248</v>
      </c>
    </row>
    <row r="84" spans="2:17" ht="30" customHeight="1">
      <c r="B84" s="17">
        <v>30501369</v>
      </c>
      <c r="C84" s="17">
        <v>51030179</v>
      </c>
      <c r="D84" s="17" t="s">
        <v>2</v>
      </c>
      <c r="E84" s="18" t="s">
        <v>23</v>
      </c>
      <c r="F84" s="21" t="s">
        <v>122</v>
      </c>
      <c r="G84" s="19" t="s">
        <v>81</v>
      </c>
      <c r="H84" s="20">
        <v>4.1666666666666664E-2</v>
      </c>
      <c r="I84" s="26" t="s">
        <v>176</v>
      </c>
      <c r="J84" s="26"/>
      <c r="K84" s="19" t="s">
        <v>129</v>
      </c>
      <c r="L84" s="53">
        <v>4693.68</v>
      </c>
      <c r="M84" s="45">
        <f t="shared" si="3"/>
        <v>3285.576</v>
      </c>
      <c r="N84" s="45">
        <v>390</v>
      </c>
      <c r="O84" s="57">
        <v>0.08</v>
      </c>
    </row>
    <row r="85" spans="2:17" ht="33.75" customHeight="1">
      <c r="B85" s="17" t="s">
        <v>224</v>
      </c>
      <c r="C85" s="17" t="s">
        <v>172</v>
      </c>
      <c r="D85" s="17" t="s">
        <v>2</v>
      </c>
      <c r="E85" s="18" t="s">
        <v>171</v>
      </c>
      <c r="F85" s="21" t="s">
        <v>122</v>
      </c>
      <c r="G85" s="19" t="s">
        <v>81</v>
      </c>
      <c r="H85" s="20">
        <v>8.3333333333333329E-2</v>
      </c>
      <c r="I85" s="26" t="s">
        <v>176</v>
      </c>
      <c r="J85" s="26"/>
      <c r="K85" s="19" t="s">
        <v>129</v>
      </c>
      <c r="L85" s="53">
        <v>5838.4800000000005</v>
      </c>
      <c r="M85" s="45">
        <f t="shared" si="3"/>
        <v>4086.9360000000001</v>
      </c>
      <c r="N85" s="45">
        <v>550</v>
      </c>
      <c r="O85" s="57">
        <v>0.08</v>
      </c>
      <c r="P85" s="41"/>
      <c r="Q85" s="41"/>
    </row>
    <row r="86" spans="2:17" s="41" customFormat="1" ht="35.25" customHeight="1">
      <c r="B86" s="17" t="s">
        <v>223</v>
      </c>
      <c r="C86" s="17" t="s">
        <v>62</v>
      </c>
      <c r="D86" s="17" t="s">
        <v>2</v>
      </c>
      <c r="E86" s="18" t="s">
        <v>59</v>
      </c>
      <c r="F86" s="21" t="s">
        <v>122</v>
      </c>
      <c r="G86" s="19" t="s">
        <v>81</v>
      </c>
      <c r="H86" s="20">
        <v>8.3333333333333329E-2</v>
      </c>
      <c r="I86" s="26" t="s">
        <v>176</v>
      </c>
      <c r="J86" s="26"/>
      <c r="K86" s="19" t="s">
        <v>129</v>
      </c>
      <c r="L86" s="53">
        <v>5838.4800000000005</v>
      </c>
      <c r="M86" s="45">
        <f t="shared" si="3"/>
        <v>4086.9360000000001</v>
      </c>
      <c r="N86" s="45">
        <v>550</v>
      </c>
      <c r="O86" s="57">
        <v>0.08</v>
      </c>
    </row>
    <row r="87" spans="2:17" s="41" customFormat="1" ht="38.25" customHeight="1">
      <c r="B87" s="17" t="s">
        <v>220</v>
      </c>
      <c r="C87" s="17" t="s">
        <v>61</v>
      </c>
      <c r="D87" s="17" t="s">
        <v>2</v>
      </c>
      <c r="E87" s="18" t="s">
        <v>58</v>
      </c>
      <c r="F87" s="21" t="s">
        <v>122</v>
      </c>
      <c r="G87" s="19" t="s">
        <v>81</v>
      </c>
      <c r="H87" s="20">
        <v>6.25E-2</v>
      </c>
      <c r="I87" s="26" t="s">
        <v>176</v>
      </c>
      <c r="J87" s="26"/>
      <c r="K87" s="19" t="s">
        <v>129</v>
      </c>
      <c r="L87" s="53">
        <v>5609.52</v>
      </c>
      <c r="M87" s="45">
        <f t="shared" si="3"/>
        <v>3926.6640000000002</v>
      </c>
      <c r="N87" s="45">
        <v>550</v>
      </c>
      <c r="O87" s="57">
        <v>0.08</v>
      </c>
      <c r="P87" s="14"/>
      <c r="Q87" s="14"/>
    </row>
    <row r="88" spans="2:17" ht="37.5" customHeight="1">
      <c r="B88" s="17" t="s">
        <v>225</v>
      </c>
      <c r="C88" s="17" t="s">
        <v>125</v>
      </c>
      <c r="D88" s="17" t="s">
        <v>2</v>
      </c>
      <c r="E88" s="25" t="s">
        <v>60</v>
      </c>
      <c r="F88" s="21" t="s">
        <v>122</v>
      </c>
      <c r="G88" s="19">
        <v>1</v>
      </c>
      <c r="H88" s="20">
        <v>8.3333333333333329E-2</v>
      </c>
      <c r="I88" s="26" t="s">
        <v>176</v>
      </c>
      <c r="J88" s="26"/>
      <c r="K88" s="19" t="s">
        <v>129</v>
      </c>
      <c r="L88" s="53">
        <v>6181.92</v>
      </c>
      <c r="M88" s="45">
        <f t="shared" si="3"/>
        <v>4327.3440000000001</v>
      </c>
      <c r="N88" s="45">
        <v>550</v>
      </c>
      <c r="O88" s="57">
        <v>0.08</v>
      </c>
    </row>
    <row r="89" spans="2:17" ht="30" customHeight="1">
      <c r="B89" s="17">
        <v>30502322</v>
      </c>
      <c r="C89" s="17">
        <v>30502322</v>
      </c>
      <c r="D89" s="17" t="s">
        <v>2</v>
      </c>
      <c r="E89" s="25" t="s">
        <v>123</v>
      </c>
      <c r="F89" s="21" t="s">
        <v>122</v>
      </c>
      <c r="G89" s="19" t="s">
        <v>81</v>
      </c>
      <c r="H89" s="20">
        <v>4.1666666666666664E-2</v>
      </c>
      <c r="I89" s="26" t="s">
        <v>176</v>
      </c>
      <c r="J89" s="26"/>
      <c r="K89" s="19" t="s">
        <v>129</v>
      </c>
      <c r="L89" s="53">
        <v>4693.68</v>
      </c>
      <c r="M89" s="45">
        <f t="shared" si="3"/>
        <v>3285.576</v>
      </c>
      <c r="N89" s="45">
        <v>390</v>
      </c>
      <c r="O89" s="57">
        <v>0.08</v>
      </c>
    </row>
    <row r="90" spans="2:17" ht="30" customHeight="1">
      <c r="B90" s="17">
        <v>30403154</v>
      </c>
      <c r="C90" s="17">
        <v>51020220</v>
      </c>
      <c r="D90" s="17" t="s">
        <v>2</v>
      </c>
      <c r="E90" s="18" t="s">
        <v>163</v>
      </c>
      <c r="F90" s="21" t="s">
        <v>122</v>
      </c>
      <c r="G90" s="19" t="s">
        <v>81</v>
      </c>
      <c r="H90" s="20">
        <v>4.1666666666666664E-2</v>
      </c>
      <c r="I90" s="21" t="s">
        <v>199</v>
      </c>
      <c r="J90" s="26" t="s">
        <v>179</v>
      </c>
      <c r="K90" s="19" t="s">
        <v>129</v>
      </c>
      <c r="L90" s="53">
        <v>4235.76</v>
      </c>
      <c r="M90" s="45">
        <f>L90*0.8</f>
        <v>3388.6080000000002</v>
      </c>
      <c r="N90" s="45">
        <v>390</v>
      </c>
      <c r="O90" s="57">
        <v>0.08</v>
      </c>
    </row>
    <row r="91" spans="2:17" ht="30" customHeight="1">
      <c r="B91" s="17">
        <v>30501458</v>
      </c>
      <c r="C91" s="17">
        <v>51030209</v>
      </c>
      <c r="D91" s="17" t="s">
        <v>2</v>
      </c>
      <c r="E91" s="25" t="s">
        <v>124</v>
      </c>
      <c r="F91" s="21" t="s">
        <v>122</v>
      </c>
      <c r="G91" s="19" t="s">
        <v>81</v>
      </c>
      <c r="H91" s="20">
        <v>4.1666666666666664E-2</v>
      </c>
      <c r="I91" s="26" t="s">
        <v>176</v>
      </c>
      <c r="J91" s="26"/>
      <c r="K91" s="19" t="s">
        <v>129</v>
      </c>
      <c r="L91" s="53">
        <v>4235.76</v>
      </c>
      <c r="M91" s="45">
        <f>L91*0.7</f>
        <v>2965.0320000000002</v>
      </c>
      <c r="N91" s="45">
        <v>390</v>
      </c>
      <c r="O91" s="57">
        <v>0.08</v>
      </c>
    </row>
    <row r="92" spans="2:17" ht="30" customHeight="1">
      <c r="B92" s="17">
        <v>24030090</v>
      </c>
      <c r="C92" s="17" t="s">
        <v>176</v>
      </c>
      <c r="D92" s="17" t="s">
        <v>233</v>
      </c>
      <c r="E92" s="25" t="s">
        <v>232</v>
      </c>
      <c r="F92" s="19" t="s">
        <v>77</v>
      </c>
      <c r="G92" s="21" t="s">
        <v>247</v>
      </c>
      <c r="H92" s="20">
        <v>4.1666666666666664E-2</v>
      </c>
      <c r="I92" s="21" t="s">
        <v>176</v>
      </c>
      <c r="J92" s="21"/>
      <c r="K92" s="21" t="s">
        <v>131</v>
      </c>
      <c r="L92" s="53">
        <v>950</v>
      </c>
      <c r="M92" s="45">
        <f>L92*0.7</f>
        <v>665</v>
      </c>
      <c r="N92" s="45">
        <v>700</v>
      </c>
      <c r="O92" s="56" t="s">
        <v>248</v>
      </c>
    </row>
    <row r="93" spans="2:17" ht="30" customHeight="1">
      <c r="B93" s="17">
        <v>40813045</v>
      </c>
      <c r="C93" s="17">
        <v>32130660</v>
      </c>
      <c r="D93" s="17" t="s">
        <v>37</v>
      </c>
      <c r="E93" s="25" t="s">
        <v>42</v>
      </c>
      <c r="F93" s="21" t="s">
        <v>105</v>
      </c>
      <c r="G93" s="19">
        <v>1</v>
      </c>
      <c r="H93" s="20">
        <v>4</v>
      </c>
      <c r="I93" s="26" t="s">
        <v>176</v>
      </c>
      <c r="J93" s="26" t="s">
        <v>176</v>
      </c>
      <c r="K93" s="21" t="s">
        <v>131</v>
      </c>
      <c r="L93" s="59" t="s">
        <v>245</v>
      </c>
      <c r="M93" s="45" t="s">
        <v>246</v>
      </c>
      <c r="N93" s="45"/>
      <c r="O93" s="57">
        <v>0.08</v>
      </c>
    </row>
    <row r="94" spans="2:17" ht="30" customHeight="1">
      <c r="B94" s="17">
        <v>31201016</v>
      </c>
      <c r="C94" s="17">
        <v>94010071</v>
      </c>
      <c r="D94" s="17" t="s">
        <v>0</v>
      </c>
      <c r="E94" s="25" t="s">
        <v>1</v>
      </c>
      <c r="F94" s="21" t="s">
        <v>105</v>
      </c>
      <c r="G94" s="19">
        <v>2</v>
      </c>
      <c r="H94" s="20">
        <v>8.3333333333333329E-2</v>
      </c>
      <c r="I94" s="26" t="s">
        <v>30</v>
      </c>
      <c r="J94" s="26" t="s">
        <v>178</v>
      </c>
      <c r="K94" s="26" t="s">
        <v>176</v>
      </c>
      <c r="L94" s="53">
        <v>13050.720000000001</v>
      </c>
      <c r="M94" s="45">
        <f>L94*0.8</f>
        <v>10440.576000000001</v>
      </c>
      <c r="N94" s="45">
        <v>550</v>
      </c>
      <c r="O94" s="57">
        <v>0.08</v>
      </c>
    </row>
    <row r="95" spans="2:17" ht="30" customHeight="1">
      <c r="B95" s="17">
        <v>31201016</v>
      </c>
      <c r="C95" s="17">
        <v>94010071</v>
      </c>
      <c r="D95" s="17" t="s">
        <v>0</v>
      </c>
      <c r="E95" s="25" t="s">
        <v>1</v>
      </c>
      <c r="F95" s="21" t="s">
        <v>105</v>
      </c>
      <c r="G95" s="19">
        <v>1</v>
      </c>
      <c r="H95" s="20">
        <v>8.3333333333333329E-2</v>
      </c>
      <c r="I95" s="26" t="s">
        <v>30</v>
      </c>
      <c r="J95" s="26" t="s">
        <v>178</v>
      </c>
      <c r="K95" s="26" t="s">
        <v>176</v>
      </c>
      <c r="L95" s="53">
        <v>12020.400000000001</v>
      </c>
      <c r="M95" s="45">
        <f>L95*0.8</f>
        <v>9616.3200000000015</v>
      </c>
      <c r="N95" s="45">
        <v>550</v>
      </c>
      <c r="O95" s="57">
        <v>0.08</v>
      </c>
    </row>
    <row r="96" spans="2:17" ht="30" customHeight="1">
      <c r="B96" s="17">
        <v>31203027</v>
      </c>
      <c r="C96" s="17">
        <v>56090013</v>
      </c>
      <c r="D96" s="17" t="s">
        <v>0</v>
      </c>
      <c r="E96" s="25" t="s">
        <v>94</v>
      </c>
      <c r="F96" s="21" t="s">
        <v>105</v>
      </c>
      <c r="G96" s="19" t="s">
        <v>81</v>
      </c>
      <c r="H96" s="20">
        <v>6.25E-2</v>
      </c>
      <c r="I96" s="26" t="s">
        <v>176</v>
      </c>
      <c r="J96" s="26" t="s">
        <v>176</v>
      </c>
      <c r="K96" s="21" t="s">
        <v>131</v>
      </c>
      <c r="L96" s="53">
        <v>4579.2000000000007</v>
      </c>
      <c r="M96" s="45">
        <f>L96*0.7</f>
        <v>3205.4400000000005</v>
      </c>
      <c r="N96" s="45">
        <v>390</v>
      </c>
      <c r="O96" s="57">
        <v>0.08</v>
      </c>
    </row>
    <row r="97" spans="2:15" ht="30" customHeight="1">
      <c r="B97" s="17">
        <v>40201066</v>
      </c>
      <c r="C97" s="17">
        <v>56010036</v>
      </c>
      <c r="D97" s="17" t="s">
        <v>0</v>
      </c>
      <c r="E97" s="25" t="s">
        <v>63</v>
      </c>
      <c r="F97" s="21" t="s">
        <v>77</v>
      </c>
      <c r="G97" s="19" t="s">
        <v>81</v>
      </c>
      <c r="H97" s="20">
        <v>4.1666666666666664E-2</v>
      </c>
      <c r="I97" s="26" t="s">
        <v>176</v>
      </c>
      <c r="J97" s="26" t="s">
        <v>176</v>
      </c>
      <c r="K97" s="21" t="s">
        <v>134</v>
      </c>
      <c r="L97" s="53">
        <v>4464.72</v>
      </c>
      <c r="M97" s="45">
        <f>L97*0.7</f>
        <v>3125.3040000000001</v>
      </c>
      <c r="N97" s="45">
        <v>390</v>
      </c>
      <c r="O97" s="57">
        <v>0.08</v>
      </c>
    </row>
    <row r="98" spans="2:15" ht="30" customHeight="1">
      <c r="B98" s="17">
        <v>40201066</v>
      </c>
      <c r="C98" s="17">
        <v>56010036</v>
      </c>
      <c r="D98" s="17" t="s">
        <v>0</v>
      </c>
      <c r="E98" s="25" t="s">
        <v>63</v>
      </c>
      <c r="F98" s="19" t="s">
        <v>77</v>
      </c>
      <c r="G98" s="21" t="s">
        <v>247</v>
      </c>
      <c r="H98" s="20">
        <v>4.1666666666666664E-2</v>
      </c>
      <c r="I98" s="26" t="s">
        <v>176</v>
      </c>
      <c r="J98" s="26" t="s">
        <v>176</v>
      </c>
      <c r="K98" s="21" t="s">
        <v>134</v>
      </c>
      <c r="L98" s="53">
        <v>3205.44</v>
      </c>
      <c r="M98" s="45">
        <f>L98*0.7</f>
        <v>2243.808</v>
      </c>
      <c r="N98" s="45">
        <v>390</v>
      </c>
      <c r="O98" s="57">
        <v>0.08</v>
      </c>
    </row>
    <row r="99" spans="2:15" ht="30" customHeight="1">
      <c r="B99" s="17" t="s">
        <v>231</v>
      </c>
      <c r="C99" s="17" t="s">
        <v>241</v>
      </c>
      <c r="D99" s="17" t="s">
        <v>0</v>
      </c>
      <c r="E99" s="25" t="s">
        <v>237</v>
      </c>
      <c r="F99" s="21" t="s">
        <v>57</v>
      </c>
      <c r="G99" s="21" t="s">
        <v>247</v>
      </c>
      <c r="H99" s="20">
        <v>2.0833333333333332E-2</v>
      </c>
      <c r="I99" s="26" t="s">
        <v>176</v>
      </c>
      <c r="J99" s="26" t="s">
        <v>176</v>
      </c>
      <c r="K99" s="21" t="s">
        <v>131</v>
      </c>
      <c r="L99" s="53">
        <v>629.64</v>
      </c>
      <c r="M99" s="45">
        <f>L99*0.7</f>
        <v>440.74799999999999</v>
      </c>
      <c r="N99" s="45">
        <v>550</v>
      </c>
      <c r="O99" s="57">
        <v>0.08</v>
      </c>
    </row>
    <row r="100" spans="2:15" ht="30" customHeight="1">
      <c r="B100" s="17">
        <v>31203043</v>
      </c>
      <c r="C100" s="17">
        <v>56090030</v>
      </c>
      <c r="D100" s="17" t="s">
        <v>0</v>
      </c>
      <c r="E100" s="25" t="s">
        <v>64</v>
      </c>
      <c r="F100" s="21" t="s">
        <v>105</v>
      </c>
      <c r="G100" s="19" t="s">
        <v>81</v>
      </c>
      <c r="H100" s="20">
        <v>6.25E-2</v>
      </c>
      <c r="I100" s="26" t="s">
        <v>176</v>
      </c>
      <c r="J100" s="26" t="s">
        <v>176</v>
      </c>
      <c r="K100" s="21" t="s">
        <v>131</v>
      </c>
      <c r="L100" s="53">
        <v>4579.2000000000007</v>
      </c>
      <c r="M100" s="45">
        <f>L100*0.7</f>
        <v>3205.4400000000005</v>
      </c>
      <c r="N100" s="45" t="s">
        <v>176</v>
      </c>
      <c r="O100" s="57">
        <v>0.08</v>
      </c>
    </row>
    <row r="101" spans="2:15" ht="30" customHeight="1">
      <c r="B101" s="17">
        <v>31102042</v>
      </c>
      <c r="C101" s="17">
        <v>56040393</v>
      </c>
      <c r="D101" s="17" t="s">
        <v>0</v>
      </c>
      <c r="E101" s="25" t="s">
        <v>91</v>
      </c>
      <c r="F101" s="21" t="s">
        <v>77</v>
      </c>
      <c r="G101" s="19" t="s">
        <v>81</v>
      </c>
      <c r="H101" s="20">
        <v>4.1666666666666664E-2</v>
      </c>
      <c r="I101" s="26" t="s">
        <v>104</v>
      </c>
      <c r="J101" s="26" t="s">
        <v>186</v>
      </c>
      <c r="K101" s="26" t="s">
        <v>176</v>
      </c>
      <c r="L101" s="53">
        <v>5151.6000000000004</v>
      </c>
      <c r="M101" s="45">
        <f>L101*0.8</f>
        <v>4121.2800000000007</v>
      </c>
      <c r="N101" s="45" t="s">
        <v>176</v>
      </c>
      <c r="O101" s="57">
        <v>0.08</v>
      </c>
    </row>
    <row r="102" spans="2:15" ht="30" customHeight="1">
      <c r="B102" s="17">
        <v>31206140</v>
      </c>
      <c r="C102" s="17">
        <v>56120141</v>
      </c>
      <c r="D102" s="17" t="s">
        <v>0</v>
      </c>
      <c r="E102" s="25" t="s">
        <v>90</v>
      </c>
      <c r="F102" s="21" t="s">
        <v>105</v>
      </c>
      <c r="G102" s="19">
        <v>1</v>
      </c>
      <c r="H102" s="20">
        <v>8.3333333333333329E-2</v>
      </c>
      <c r="I102" s="26" t="s">
        <v>176</v>
      </c>
      <c r="J102" s="26" t="s">
        <v>176</v>
      </c>
      <c r="K102" s="21" t="s">
        <v>106</v>
      </c>
      <c r="L102" s="53">
        <v>5495.04</v>
      </c>
      <c r="M102" s="45">
        <f>L102*0.7</f>
        <v>3846.5279999999998</v>
      </c>
      <c r="N102" s="45" t="s">
        <v>176</v>
      </c>
      <c r="O102" s="57">
        <v>0.08</v>
      </c>
    </row>
    <row r="103" spans="2:15" ht="30" customHeight="1">
      <c r="B103" s="17">
        <v>31206140</v>
      </c>
      <c r="C103" s="17">
        <v>56120141</v>
      </c>
      <c r="D103" s="17" t="s">
        <v>0</v>
      </c>
      <c r="E103" s="25" t="s">
        <v>90</v>
      </c>
      <c r="F103" s="21" t="s">
        <v>105</v>
      </c>
      <c r="G103" s="19" t="s">
        <v>81</v>
      </c>
      <c r="H103" s="20">
        <v>8.3333333333333329E-2</v>
      </c>
      <c r="I103" s="26" t="s">
        <v>176</v>
      </c>
      <c r="J103" s="26" t="s">
        <v>176</v>
      </c>
      <c r="K103" s="21" t="s">
        <v>106</v>
      </c>
      <c r="L103" s="53">
        <v>4579.2000000000007</v>
      </c>
      <c r="M103" s="45">
        <f>L103*0.7</f>
        <v>3205.4400000000005</v>
      </c>
      <c r="N103" s="45" t="s">
        <v>176</v>
      </c>
      <c r="O103" s="57">
        <v>0.08</v>
      </c>
    </row>
    <row r="104" spans="2:15" ht="30" customHeight="1">
      <c r="B104" s="17">
        <v>31101194</v>
      </c>
      <c r="C104" s="17">
        <v>56030100</v>
      </c>
      <c r="D104" s="17" t="s">
        <v>0</v>
      </c>
      <c r="E104" s="25" t="s">
        <v>97</v>
      </c>
      <c r="F104" s="21" t="s">
        <v>105</v>
      </c>
      <c r="G104" s="19">
        <v>4</v>
      </c>
      <c r="H104" s="20">
        <v>0.125</v>
      </c>
      <c r="I104" s="26" t="s">
        <v>93</v>
      </c>
      <c r="J104" s="26" t="s">
        <v>179</v>
      </c>
      <c r="K104" s="26" t="s">
        <v>176</v>
      </c>
      <c r="L104" s="53">
        <v>21751.200000000001</v>
      </c>
      <c r="M104" s="45">
        <f>L104*0.8</f>
        <v>17400.960000000003</v>
      </c>
      <c r="N104" s="45">
        <v>1450</v>
      </c>
      <c r="O104" s="57">
        <v>0.08</v>
      </c>
    </row>
    <row r="105" spans="2:15" ht="25.5">
      <c r="B105" s="17">
        <v>31101585</v>
      </c>
      <c r="C105" s="29" t="s">
        <v>176</v>
      </c>
      <c r="D105" s="17" t="s">
        <v>0</v>
      </c>
      <c r="E105" s="25" t="s">
        <v>121</v>
      </c>
      <c r="F105" s="21" t="s">
        <v>105</v>
      </c>
      <c r="G105" s="19">
        <v>3</v>
      </c>
      <c r="H105" s="20">
        <v>0.125</v>
      </c>
      <c r="I105" s="26" t="s">
        <v>119</v>
      </c>
      <c r="J105" s="26" t="s">
        <v>190</v>
      </c>
      <c r="K105" s="26" t="s">
        <v>176</v>
      </c>
      <c r="L105" s="53">
        <v>21751.200000000001</v>
      </c>
      <c r="M105" s="45">
        <f>L105*0.8</f>
        <v>17400.960000000003</v>
      </c>
      <c r="N105" s="45">
        <v>1450</v>
      </c>
      <c r="O105" s="57">
        <v>0.08</v>
      </c>
    </row>
    <row r="106" spans="2:15" ht="38.25">
      <c r="B106" s="17">
        <v>31101275</v>
      </c>
      <c r="C106" s="17">
        <v>56030487</v>
      </c>
      <c r="D106" s="17" t="s">
        <v>0</v>
      </c>
      <c r="E106" s="25" t="s">
        <v>98</v>
      </c>
      <c r="F106" s="21" t="s">
        <v>105</v>
      </c>
      <c r="G106" s="19">
        <v>2</v>
      </c>
      <c r="H106" s="20">
        <v>0.125</v>
      </c>
      <c r="I106" s="26" t="s">
        <v>110</v>
      </c>
      <c r="J106" s="26" t="s">
        <v>186</v>
      </c>
      <c r="K106" s="26" t="s">
        <v>176</v>
      </c>
      <c r="L106" s="53">
        <v>18545.760000000002</v>
      </c>
      <c r="M106" s="45">
        <f>L106*0.8</f>
        <v>14836.608000000002</v>
      </c>
      <c r="N106" s="45" t="s">
        <v>176</v>
      </c>
      <c r="O106" s="57">
        <v>0.08</v>
      </c>
    </row>
    <row r="107" spans="2:15" ht="30" customHeight="1">
      <c r="B107" s="17">
        <v>31203060</v>
      </c>
      <c r="C107" s="17">
        <v>56090080</v>
      </c>
      <c r="D107" s="17" t="s">
        <v>0</v>
      </c>
      <c r="E107" s="25" t="s">
        <v>17</v>
      </c>
      <c r="F107" s="21" t="s">
        <v>105</v>
      </c>
      <c r="G107" s="19">
        <v>1</v>
      </c>
      <c r="H107" s="20">
        <v>4.1666666666666664E-2</v>
      </c>
      <c r="I107" s="26" t="s">
        <v>176</v>
      </c>
      <c r="J107" s="26" t="s">
        <v>176</v>
      </c>
      <c r="K107" s="21" t="s">
        <v>131</v>
      </c>
      <c r="L107" s="53">
        <v>3205.44</v>
      </c>
      <c r="M107" s="45">
        <f>L107*0.7</f>
        <v>2243.808</v>
      </c>
      <c r="N107" s="45" t="s">
        <v>176</v>
      </c>
      <c r="O107" s="57">
        <v>0.08</v>
      </c>
    </row>
    <row r="108" spans="2:15" ht="30" customHeight="1">
      <c r="B108" s="17">
        <v>31206220</v>
      </c>
      <c r="C108" s="17">
        <v>56120168</v>
      </c>
      <c r="D108" s="17" t="s">
        <v>0</v>
      </c>
      <c r="E108" s="25" t="s">
        <v>22</v>
      </c>
      <c r="F108" s="21" t="s">
        <v>142</v>
      </c>
      <c r="G108" s="19" t="s">
        <v>81</v>
      </c>
      <c r="H108" s="20">
        <v>4.1666666666666664E-2</v>
      </c>
      <c r="I108" s="26" t="s">
        <v>176</v>
      </c>
      <c r="J108" s="26" t="s">
        <v>176</v>
      </c>
      <c r="K108" s="21" t="s">
        <v>131</v>
      </c>
      <c r="L108" s="53">
        <v>2976.48</v>
      </c>
      <c r="M108" s="45">
        <f>L108*0.7</f>
        <v>2083.5360000000001</v>
      </c>
      <c r="N108" s="45">
        <v>390</v>
      </c>
      <c r="O108" s="57">
        <v>0.08</v>
      </c>
    </row>
    <row r="109" spans="2:15" ht="30" customHeight="1">
      <c r="B109" s="17">
        <v>31206220</v>
      </c>
      <c r="C109" s="17">
        <v>56120168</v>
      </c>
      <c r="D109" s="17" t="s">
        <v>0</v>
      </c>
      <c r="E109" s="25" t="s">
        <v>22</v>
      </c>
      <c r="F109" s="21" t="s">
        <v>57</v>
      </c>
      <c r="G109" s="21" t="s">
        <v>247</v>
      </c>
      <c r="H109" s="20">
        <v>4.1666666666666664E-2</v>
      </c>
      <c r="I109" s="26" t="s">
        <v>176</v>
      </c>
      <c r="J109" s="26" t="s">
        <v>176</v>
      </c>
      <c r="K109" s="21" t="s">
        <v>131</v>
      </c>
      <c r="L109" s="53">
        <v>1946.16</v>
      </c>
      <c r="M109" s="45">
        <f>L109*0.7</f>
        <v>1362.3119999999999</v>
      </c>
      <c r="N109" s="45">
        <v>390</v>
      </c>
      <c r="O109" s="57">
        <v>0.08</v>
      </c>
    </row>
    <row r="110" spans="2:15" ht="30" customHeight="1">
      <c r="B110" s="17">
        <v>31201130</v>
      </c>
      <c r="C110" s="17">
        <v>94010142</v>
      </c>
      <c r="D110" s="17" t="s">
        <v>0</v>
      </c>
      <c r="E110" s="25" t="s">
        <v>236</v>
      </c>
      <c r="F110" s="21" t="s">
        <v>105</v>
      </c>
      <c r="G110" s="19">
        <v>1</v>
      </c>
      <c r="H110" s="20">
        <v>8.3333333333333329E-2</v>
      </c>
      <c r="I110" s="26" t="s">
        <v>234</v>
      </c>
      <c r="J110" s="26" t="s">
        <v>235</v>
      </c>
      <c r="K110" s="21"/>
      <c r="L110" s="53">
        <v>17172</v>
      </c>
      <c r="M110" s="45">
        <f>L110*0.8</f>
        <v>13737.6</v>
      </c>
      <c r="N110" s="45">
        <v>550</v>
      </c>
      <c r="O110" s="57">
        <v>0.08</v>
      </c>
    </row>
    <row r="111" spans="2:15" ht="30" customHeight="1">
      <c r="B111" s="17">
        <v>31201130</v>
      </c>
      <c r="C111" s="17">
        <v>94010142</v>
      </c>
      <c r="D111" s="17" t="s">
        <v>0</v>
      </c>
      <c r="E111" s="25" t="s">
        <v>236</v>
      </c>
      <c r="F111" s="21" t="s">
        <v>105</v>
      </c>
      <c r="G111" s="19">
        <v>2</v>
      </c>
      <c r="H111" s="20">
        <v>8.3333333333333329E-2</v>
      </c>
      <c r="I111" s="26" t="s">
        <v>234</v>
      </c>
      <c r="J111" s="26" t="s">
        <v>235</v>
      </c>
      <c r="K111" s="21"/>
      <c r="L111" s="53">
        <v>18252</v>
      </c>
      <c r="M111" s="45">
        <f>L111*0.8</f>
        <v>14601.6</v>
      </c>
      <c r="N111" s="45">
        <v>550</v>
      </c>
      <c r="O111" s="57">
        <v>0.08</v>
      </c>
    </row>
    <row r="112" spans="2:15" ht="30" customHeight="1">
      <c r="B112" s="17">
        <v>31103472</v>
      </c>
      <c r="C112" s="29" t="s">
        <v>176</v>
      </c>
      <c r="D112" s="17" t="s">
        <v>0</v>
      </c>
      <c r="E112" s="25" t="s">
        <v>99</v>
      </c>
      <c r="F112" s="21" t="s">
        <v>105</v>
      </c>
      <c r="G112" s="19" t="s">
        <v>81</v>
      </c>
      <c r="H112" s="20">
        <v>4.1666666666666664E-2</v>
      </c>
      <c r="I112" s="26" t="s">
        <v>176</v>
      </c>
      <c r="J112" s="26" t="s">
        <v>176</v>
      </c>
      <c r="K112" s="21" t="s">
        <v>92</v>
      </c>
      <c r="L112" s="53">
        <v>3548.88</v>
      </c>
      <c r="M112" s="45">
        <f>L112*0.7</f>
        <v>2484.2159999999999</v>
      </c>
      <c r="N112" s="45" t="s">
        <v>176</v>
      </c>
      <c r="O112" s="57">
        <v>0.08</v>
      </c>
    </row>
    <row r="113" spans="2:15" ht="30" customHeight="1">
      <c r="B113" s="17">
        <v>31205054</v>
      </c>
      <c r="C113" s="17">
        <v>56110120</v>
      </c>
      <c r="D113" s="17" t="s">
        <v>0</v>
      </c>
      <c r="E113" s="25" t="s">
        <v>67</v>
      </c>
      <c r="F113" s="21" t="s">
        <v>105</v>
      </c>
      <c r="G113" s="19" t="s">
        <v>81</v>
      </c>
      <c r="H113" s="20">
        <v>0.16666666666666666</v>
      </c>
      <c r="I113" s="26" t="s">
        <v>118</v>
      </c>
      <c r="J113" s="26" t="s">
        <v>179</v>
      </c>
      <c r="K113" s="21"/>
      <c r="L113" s="53">
        <v>8586</v>
      </c>
      <c r="M113" s="45">
        <f>L113*0.8</f>
        <v>6868.8</v>
      </c>
      <c r="N113" s="45" t="s">
        <v>176</v>
      </c>
      <c r="O113" s="57">
        <v>0.08</v>
      </c>
    </row>
    <row r="114" spans="2:15" ht="30" customHeight="1">
      <c r="B114" s="17">
        <v>31103456</v>
      </c>
      <c r="C114" s="17">
        <v>56050330</v>
      </c>
      <c r="D114" s="17" t="s">
        <v>0</v>
      </c>
      <c r="E114" s="25" t="s">
        <v>65</v>
      </c>
      <c r="F114" s="21" t="s">
        <v>105</v>
      </c>
      <c r="G114" s="19">
        <v>1</v>
      </c>
      <c r="H114" s="20">
        <v>4.1666666666666664E-2</v>
      </c>
      <c r="I114" s="26" t="s">
        <v>176</v>
      </c>
      <c r="J114" s="26" t="s">
        <v>176</v>
      </c>
      <c r="K114" s="21" t="s">
        <v>131</v>
      </c>
      <c r="L114" s="53">
        <v>6868.8</v>
      </c>
      <c r="M114" s="45">
        <f>L114*0.7</f>
        <v>4808.16</v>
      </c>
      <c r="N114" s="45">
        <v>550</v>
      </c>
      <c r="O114" s="57">
        <v>0.08</v>
      </c>
    </row>
    <row r="115" spans="2:15" ht="30" customHeight="1">
      <c r="B115" s="17">
        <v>31103456</v>
      </c>
      <c r="C115" s="17">
        <v>56050330</v>
      </c>
      <c r="D115" s="17" t="s">
        <v>0</v>
      </c>
      <c r="E115" s="25" t="s">
        <v>65</v>
      </c>
      <c r="F115" s="21" t="s">
        <v>105</v>
      </c>
      <c r="G115" s="19">
        <v>2</v>
      </c>
      <c r="H115" s="20">
        <v>4.1666666666666664E-2</v>
      </c>
      <c r="I115" s="26" t="s">
        <v>176</v>
      </c>
      <c r="J115" s="26" t="s">
        <v>176</v>
      </c>
      <c r="K115" s="21" t="s">
        <v>131</v>
      </c>
      <c r="L115" s="53">
        <v>8586</v>
      </c>
      <c r="M115" s="45">
        <f>L115*0.7</f>
        <v>6010.2</v>
      </c>
      <c r="N115" s="45">
        <v>550</v>
      </c>
      <c r="O115" s="57">
        <v>0.08</v>
      </c>
    </row>
    <row r="116" spans="2:15" ht="30" customHeight="1">
      <c r="B116" s="17">
        <v>31201130</v>
      </c>
      <c r="C116" s="17">
        <v>56070055</v>
      </c>
      <c r="D116" s="17" t="s">
        <v>0</v>
      </c>
      <c r="E116" s="25" t="s">
        <v>66</v>
      </c>
      <c r="F116" s="21" t="s">
        <v>105</v>
      </c>
      <c r="G116" s="19">
        <v>2</v>
      </c>
      <c r="H116" s="20">
        <v>8.3333333333333329E-2</v>
      </c>
      <c r="I116" s="26" t="s">
        <v>176</v>
      </c>
      <c r="J116" s="26" t="s">
        <v>176</v>
      </c>
      <c r="K116" s="21" t="s">
        <v>131</v>
      </c>
      <c r="L116" s="53">
        <v>8586</v>
      </c>
      <c r="M116" s="45">
        <f>L116*0.7</f>
        <v>6010.2</v>
      </c>
      <c r="N116" s="45">
        <v>550</v>
      </c>
      <c r="O116" s="57">
        <v>0.08</v>
      </c>
    </row>
    <row r="117" spans="2:15" ht="30" customHeight="1">
      <c r="B117" s="17">
        <v>31201130</v>
      </c>
      <c r="C117" s="17">
        <v>56070055</v>
      </c>
      <c r="D117" s="17" t="s">
        <v>0</v>
      </c>
      <c r="E117" s="25" t="s">
        <v>66</v>
      </c>
      <c r="F117" s="21" t="s">
        <v>105</v>
      </c>
      <c r="G117" s="19">
        <v>3</v>
      </c>
      <c r="H117" s="20">
        <v>8.3333333333333329E-2</v>
      </c>
      <c r="I117" s="26" t="s">
        <v>176</v>
      </c>
      <c r="J117" s="26" t="s">
        <v>176</v>
      </c>
      <c r="K117" s="21" t="s">
        <v>131</v>
      </c>
      <c r="L117" s="53">
        <v>9730.8000000000011</v>
      </c>
      <c r="M117" s="45">
        <f>L117*0.7</f>
        <v>6811.56</v>
      </c>
      <c r="N117" s="45">
        <v>550</v>
      </c>
      <c r="O117" s="57">
        <v>0.08</v>
      </c>
    </row>
    <row r="118" spans="2:15" ht="38.25">
      <c r="B118" s="17">
        <v>31102360</v>
      </c>
      <c r="C118" s="29" t="s">
        <v>176</v>
      </c>
      <c r="D118" s="17" t="s">
        <v>0</v>
      </c>
      <c r="E118" s="25" t="s">
        <v>95</v>
      </c>
      <c r="F118" s="21" t="s">
        <v>105</v>
      </c>
      <c r="G118" s="19">
        <v>1</v>
      </c>
      <c r="H118" s="20">
        <v>8.3333333333333329E-2</v>
      </c>
      <c r="I118" s="26" t="s">
        <v>102</v>
      </c>
      <c r="J118" s="26" t="s">
        <v>186</v>
      </c>
      <c r="K118" s="21" t="s">
        <v>107</v>
      </c>
      <c r="L118" s="53">
        <v>15454.800000000001</v>
      </c>
      <c r="M118" s="45">
        <f>L118*0.8</f>
        <v>12363.840000000002</v>
      </c>
      <c r="N118" s="45" t="s">
        <v>176</v>
      </c>
      <c r="O118" s="57">
        <v>0.08</v>
      </c>
    </row>
    <row r="119" spans="2:15" ht="25.5">
      <c r="B119" s="17">
        <v>31102379</v>
      </c>
      <c r="C119" s="29" t="s">
        <v>176</v>
      </c>
      <c r="D119" s="17" t="s">
        <v>0</v>
      </c>
      <c r="E119" s="25" t="s">
        <v>101</v>
      </c>
      <c r="F119" s="21" t="s">
        <v>105</v>
      </c>
      <c r="G119" s="19">
        <v>1</v>
      </c>
      <c r="H119" s="20">
        <v>8.3333333333333329E-2</v>
      </c>
      <c r="I119" s="26" t="s">
        <v>103</v>
      </c>
      <c r="J119" s="26" t="s">
        <v>186</v>
      </c>
      <c r="K119" s="21" t="s">
        <v>107</v>
      </c>
      <c r="L119" s="53">
        <v>14081.04</v>
      </c>
      <c r="M119" s="45">
        <f>L119*0.8</f>
        <v>11264.832000000002</v>
      </c>
      <c r="N119" s="45" t="s">
        <v>176</v>
      </c>
      <c r="O119" s="57">
        <v>0.08</v>
      </c>
    </row>
    <row r="120" spans="2:15" ht="30" customHeight="1">
      <c r="B120" s="17">
        <v>31104223</v>
      </c>
      <c r="C120" s="17">
        <v>56060220</v>
      </c>
      <c r="D120" s="17" t="s">
        <v>0</v>
      </c>
      <c r="E120" s="25" t="s">
        <v>120</v>
      </c>
      <c r="F120" s="21" t="s">
        <v>105</v>
      </c>
      <c r="G120" s="19">
        <v>1</v>
      </c>
      <c r="H120" s="20">
        <v>4.1666666666666664E-2</v>
      </c>
      <c r="I120" s="26" t="s">
        <v>176</v>
      </c>
      <c r="J120" s="26" t="s">
        <v>176</v>
      </c>
      <c r="K120" s="21" t="s">
        <v>131</v>
      </c>
      <c r="L120" s="53">
        <v>5495.04</v>
      </c>
      <c r="M120" s="45">
        <f>L120*0.7</f>
        <v>3846.5279999999998</v>
      </c>
      <c r="N120" s="45" t="s">
        <v>176</v>
      </c>
      <c r="O120" s="57">
        <v>0.08</v>
      </c>
    </row>
    <row r="121" spans="2:15" ht="30" customHeight="1">
      <c r="B121" s="17">
        <v>31203124</v>
      </c>
      <c r="C121" s="17">
        <v>56090137</v>
      </c>
      <c r="D121" s="17" t="s">
        <v>0</v>
      </c>
      <c r="E121" s="25" t="s">
        <v>96</v>
      </c>
      <c r="F121" s="21" t="s">
        <v>105</v>
      </c>
      <c r="G121" s="19" t="s">
        <v>81</v>
      </c>
      <c r="H121" s="20">
        <v>8.3333333333333329E-2</v>
      </c>
      <c r="I121" s="26" t="s">
        <v>176</v>
      </c>
      <c r="J121" s="26" t="s">
        <v>176</v>
      </c>
      <c r="K121" s="21" t="s">
        <v>131</v>
      </c>
      <c r="L121" s="53">
        <v>4579.2000000000007</v>
      </c>
      <c r="M121" s="45">
        <f>L121*0.7</f>
        <v>3205.4400000000005</v>
      </c>
      <c r="N121" s="45">
        <v>390</v>
      </c>
      <c r="O121" s="57">
        <v>0.08</v>
      </c>
    </row>
    <row r="122" spans="2:15" ht="30" customHeight="1">
      <c r="B122" s="17">
        <v>31205046</v>
      </c>
      <c r="C122" s="17">
        <v>56110103</v>
      </c>
      <c r="D122" s="17" t="s">
        <v>0</v>
      </c>
      <c r="E122" s="25" t="s">
        <v>41</v>
      </c>
      <c r="F122" s="21" t="s">
        <v>57</v>
      </c>
      <c r="G122" s="21" t="s">
        <v>247</v>
      </c>
      <c r="H122" s="20">
        <v>4.1666666666666664E-2</v>
      </c>
      <c r="I122" s="26" t="s">
        <v>176</v>
      </c>
      <c r="J122" s="26" t="s">
        <v>176</v>
      </c>
      <c r="K122" s="21" t="s">
        <v>131</v>
      </c>
      <c r="L122" s="53">
        <v>900</v>
      </c>
      <c r="M122" s="45">
        <f>L122*0.7</f>
        <v>630</v>
      </c>
      <c r="N122" s="45">
        <v>550</v>
      </c>
      <c r="O122" s="56" t="s">
        <v>248</v>
      </c>
    </row>
    <row r="123" spans="2:15" ht="30" customHeight="1">
      <c r="B123" s="17">
        <v>31205046</v>
      </c>
      <c r="C123" s="17">
        <v>56110103</v>
      </c>
      <c r="D123" s="17" t="s">
        <v>0</v>
      </c>
      <c r="E123" s="25" t="s">
        <v>41</v>
      </c>
      <c r="F123" s="19" t="s">
        <v>77</v>
      </c>
      <c r="G123" s="21" t="s">
        <v>247</v>
      </c>
      <c r="H123" s="20">
        <v>4.1666666666666664E-2</v>
      </c>
      <c r="I123" s="26" t="s">
        <v>176</v>
      </c>
      <c r="J123" s="26" t="s">
        <v>176</v>
      </c>
      <c r="K123" s="21" t="s">
        <v>131</v>
      </c>
      <c r="L123" s="53">
        <v>2250</v>
      </c>
      <c r="M123" s="45">
        <f>L123*0.7</f>
        <v>1575</v>
      </c>
      <c r="N123" s="45">
        <v>550</v>
      </c>
      <c r="O123" s="56" t="s">
        <v>248</v>
      </c>
    </row>
    <row r="124" spans="2:15" ht="30" customHeight="1">
      <c r="B124" s="17">
        <v>40812030</v>
      </c>
      <c r="C124" s="29">
        <v>32120010</v>
      </c>
      <c r="D124" s="17" t="s">
        <v>48</v>
      </c>
      <c r="E124" s="18" t="s">
        <v>33</v>
      </c>
      <c r="F124" s="19" t="s">
        <v>57</v>
      </c>
      <c r="G124" s="21" t="s">
        <v>247</v>
      </c>
      <c r="H124" s="20">
        <v>4.1666666666666664E-2</v>
      </c>
      <c r="I124" s="21" t="s">
        <v>165</v>
      </c>
      <c r="J124" s="21" t="s">
        <v>188</v>
      </c>
      <c r="K124" s="31" t="s">
        <v>176</v>
      </c>
      <c r="L124" s="53">
        <v>4006.8</v>
      </c>
      <c r="M124" s="45" t="s">
        <v>246</v>
      </c>
      <c r="N124" s="45" t="s">
        <v>176</v>
      </c>
      <c r="O124" s="57">
        <v>0.08</v>
      </c>
    </row>
    <row r="125" spans="2:15" ht="30" customHeight="1">
      <c r="B125" s="17">
        <v>30908078</v>
      </c>
      <c r="C125" s="17">
        <v>39090019</v>
      </c>
      <c r="D125" s="17" t="s">
        <v>48</v>
      </c>
      <c r="E125" s="18" t="s">
        <v>226</v>
      </c>
      <c r="F125" s="21" t="s">
        <v>142</v>
      </c>
      <c r="G125" s="19" t="s">
        <v>81</v>
      </c>
      <c r="H125" s="20">
        <v>4.1666666666666664E-2</v>
      </c>
      <c r="I125" s="26" t="s">
        <v>176</v>
      </c>
      <c r="J125" s="21" t="s">
        <v>193</v>
      </c>
      <c r="K125" s="21" t="s">
        <v>86</v>
      </c>
      <c r="L125" s="53">
        <v>3090.96</v>
      </c>
      <c r="M125" s="45">
        <f>L125*0.7</f>
        <v>2163.672</v>
      </c>
      <c r="N125" s="45" t="s">
        <v>176</v>
      </c>
      <c r="O125" s="57">
        <v>0.08</v>
      </c>
    </row>
    <row r="126" spans="2:15" ht="30" customHeight="1">
      <c r="B126" s="17">
        <v>30913101</v>
      </c>
      <c r="C126" s="17">
        <v>39090043</v>
      </c>
      <c r="D126" s="17" t="s">
        <v>48</v>
      </c>
      <c r="E126" s="25" t="s">
        <v>44</v>
      </c>
      <c r="F126" s="21" t="s">
        <v>142</v>
      </c>
      <c r="G126" s="19" t="s">
        <v>81</v>
      </c>
      <c r="H126" s="20">
        <v>8.3333333333333329E-2</v>
      </c>
      <c r="I126" s="21" t="s">
        <v>164</v>
      </c>
      <c r="J126" s="21" t="s">
        <v>202</v>
      </c>
      <c r="K126" s="31" t="s">
        <v>176</v>
      </c>
      <c r="L126" s="53">
        <v>6868.8</v>
      </c>
      <c r="M126" s="45">
        <f>L126*0.8</f>
        <v>5495.0400000000009</v>
      </c>
      <c r="N126" s="45" t="s">
        <v>176</v>
      </c>
      <c r="O126" s="57">
        <v>0.08</v>
      </c>
    </row>
    <row r="127" spans="2:15" ht="30" customHeight="1">
      <c r="B127" s="17">
        <v>30913128</v>
      </c>
      <c r="C127" s="17">
        <v>39090051</v>
      </c>
      <c r="D127" s="17" t="s">
        <v>48</v>
      </c>
      <c r="E127" s="25" t="s">
        <v>45</v>
      </c>
      <c r="F127" s="21" t="s">
        <v>142</v>
      </c>
      <c r="G127" s="19" t="s">
        <v>81</v>
      </c>
      <c r="H127" s="20">
        <v>4.1666666666666664E-2</v>
      </c>
      <c r="I127" s="26" t="s">
        <v>176</v>
      </c>
      <c r="J127" s="31" t="s">
        <v>176</v>
      </c>
      <c r="K127" s="31" t="s">
        <v>176</v>
      </c>
      <c r="L127" s="53">
        <v>3892.32</v>
      </c>
      <c r="M127" s="45">
        <f>L127*0.7</f>
        <v>2724.6239999999998</v>
      </c>
      <c r="N127" s="45" t="s">
        <v>176</v>
      </c>
      <c r="O127" s="57">
        <v>0.08</v>
      </c>
    </row>
    <row r="128" spans="2:15" ht="30" customHeight="1">
      <c r="B128" s="17">
        <v>30907136</v>
      </c>
      <c r="C128" s="17">
        <v>39030113</v>
      </c>
      <c r="D128" s="17" t="s">
        <v>48</v>
      </c>
      <c r="E128" s="25" t="s">
        <v>47</v>
      </c>
      <c r="F128" s="19" t="s">
        <v>49</v>
      </c>
      <c r="G128" s="19" t="s">
        <v>81</v>
      </c>
      <c r="H128" s="20">
        <v>8.3333333333333329E-2</v>
      </c>
      <c r="I128" s="21" t="s">
        <v>87</v>
      </c>
      <c r="J128" s="21" t="s">
        <v>179</v>
      </c>
      <c r="K128" s="31" t="s">
        <v>176</v>
      </c>
      <c r="L128" s="53">
        <v>5495.04</v>
      </c>
      <c r="M128" s="45">
        <f>L128*0.8</f>
        <v>4396.0320000000002</v>
      </c>
      <c r="N128" s="45">
        <v>390</v>
      </c>
      <c r="O128" s="57">
        <v>0.08</v>
      </c>
    </row>
  </sheetData>
  <sheetProtection algorithmName="SHA-512" hashValue="DDGVv3Xud3AQxTdE6jtIzZFtW+FeHRwYdeEvjBLlpjh0dykR+1pU9xRswIQohrJhvXHv3MdeYLtq8tLivLq2dg==" saltValue="q+C1JDmSogBneXhlAwZ/nQ==" spinCount="100000" sheet="1" sort="0" autoFilter="0"/>
  <autoFilter ref="B2:Q2" xr:uid="{00000000-0001-0000-0000-000000000000}">
    <sortState xmlns:xlrd2="http://schemas.microsoft.com/office/spreadsheetml/2017/richdata2" ref="B3:Q129">
      <sortCondition ref="D2"/>
    </sortState>
  </autoFilter>
  <printOptions horizontalCentered="1"/>
  <pageMargins left="0.11811023622047245" right="0.11811023622047245" top="0.59055118110236227" bottom="0.39370078740157483" header="0.11811023622047245" footer="0.31496062992125984"/>
  <pageSetup paperSize="9" scale="56" fitToHeight="0" orientation="landscape" r:id="rId1"/>
  <headerFooter>
    <oddHeader xml:space="preserve">&amp;L&amp;G&amp;C&amp;"-,Negrito"&amp;10PREÇOS PADRONIZADOS -PARTICULAR
&amp;R&amp;"-,Negrito"&amp;10VIGÊNCIA: 09/08/2017  </oddHeader>
    <oddFooter>&amp;C&amp;9&amp;P</oddFoot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3"/>
  <dimension ref="A1:N12"/>
  <sheetViews>
    <sheetView showGridLines="0" topLeftCell="B1" workbookViewId="0">
      <selection activeCell="P7" sqref="P7"/>
    </sheetView>
  </sheetViews>
  <sheetFormatPr defaultRowHeight="15"/>
  <cols>
    <col min="2" max="2" width="10.7109375" customWidth="1"/>
    <col min="3" max="3" width="8.85546875" customWidth="1"/>
    <col min="4" max="4" width="8.7109375" bestFit="1" customWidth="1"/>
    <col min="5" max="5" width="43.5703125" bestFit="1" customWidth="1"/>
    <col min="6" max="6" width="11.28515625" customWidth="1"/>
    <col min="7" max="7" width="7.5703125" customWidth="1"/>
    <col min="8" max="8" width="7.85546875" style="5" bestFit="1" customWidth="1"/>
    <col min="9" max="9" width="20.7109375" customWidth="1"/>
    <col min="10" max="10" width="18.28515625" customWidth="1"/>
    <col min="11" max="11" width="15.7109375" customWidth="1"/>
    <col min="12" max="12" width="11.5703125" style="4" bestFit="1" customWidth="1"/>
    <col min="13" max="14" width="13.42578125" style="49" customWidth="1"/>
  </cols>
  <sheetData>
    <row r="1" spans="1:14">
      <c r="E1" s="9"/>
      <c r="K1" s="4"/>
      <c r="L1"/>
    </row>
    <row r="2" spans="1:14" ht="25.5">
      <c r="A2" s="10"/>
      <c r="B2" s="11"/>
      <c r="C2" s="10"/>
      <c r="D2" s="10"/>
      <c r="E2" s="10"/>
      <c r="F2" s="10"/>
      <c r="G2" s="10"/>
      <c r="H2" s="10"/>
      <c r="I2" s="10"/>
      <c r="L2"/>
    </row>
    <row r="3" spans="1:14">
      <c r="A3" s="10"/>
      <c r="B3" s="10"/>
      <c r="C3" s="10"/>
      <c r="D3" s="10"/>
      <c r="E3" s="10"/>
      <c r="F3" s="10"/>
      <c r="G3" s="10"/>
      <c r="H3" s="10"/>
      <c r="I3" s="10"/>
      <c r="L3"/>
    </row>
    <row r="4" spans="1:14">
      <c r="A4" s="10"/>
      <c r="B4" s="10"/>
      <c r="C4" s="10"/>
      <c r="D4" s="10"/>
      <c r="E4" s="10"/>
      <c r="F4" s="10"/>
      <c r="G4" s="10"/>
      <c r="H4" s="10"/>
      <c r="I4" s="10"/>
      <c r="L4"/>
    </row>
    <row r="5" spans="1:14">
      <c r="A5" s="10"/>
      <c r="B5" s="10"/>
      <c r="C5" s="10"/>
      <c r="D5" s="10"/>
      <c r="E5" s="10"/>
      <c r="F5" s="10"/>
      <c r="G5" s="10"/>
      <c r="H5" s="10"/>
      <c r="I5" s="10"/>
      <c r="L5"/>
    </row>
    <row r="7" spans="1:14" s="1" customFormat="1" ht="42" customHeight="1">
      <c r="B7" s="43" t="str">
        <f>base!B2</f>
        <v>Código</v>
      </c>
      <c r="C7" s="43" t="str">
        <f>base!C2</f>
        <v>Código AMB</v>
      </c>
      <c r="D7" s="43" t="str">
        <f>base!D2</f>
        <v>Especialidade</v>
      </c>
      <c r="E7" s="43" t="str">
        <f>base!E2</f>
        <v>Procedimento</v>
      </c>
      <c r="F7" s="43" t="str">
        <f>base!F2</f>
        <v>Tipo de Anestesia</v>
      </c>
      <c r="G7" s="43" t="str">
        <f>base!G2</f>
        <v>Diárias</v>
      </c>
      <c r="H7" s="43" t="str">
        <f>base!H2</f>
        <v>Tempo Sala</v>
      </c>
      <c r="I7" s="43" t="str">
        <f>base!I2</f>
        <v>Itens inclusos - OPME</v>
      </c>
      <c r="J7" s="43" t="str">
        <f>base!J2</f>
        <v>Fornecedor Homologado - itens inclusos</v>
      </c>
      <c r="K7" s="43" t="str">
        <f>base!K2</f>
        <v>Itens exclusos</v>
      </c>
      <c r="L7" s="43" t="str">
        <f>base!L2</f>
        <v>Vera Cruz Hospital</v>
      </c>
      <c r="M7" s="50" t="str">
        <f>base!M2</f>
        <v>Vera Cruz Casa Saude</v>
      </c>
      <c r="N7" s="50" t="str">
        <f>base!N2</f>
        <v>Anatomo Patologico Multipat</v>
      </c>
    </row>
    <row r="8" spans="1:14" ht="50.1" customHeight="1">
      <c r="B8" s="17">
        <f>base!B124</f>
        <v>40812030</v>
      </c>
      <c r="C8" s="17">
        <f>base!C124</f>
        <v>32120010</v>
      </c>
      <c r="D8" s="17" t="str">
        <f>base!D124</f>
        <v>VASCULAR</v>
      </c>
      <c r="E8" s="24" t="str">
        <f>base!E124</f>
        <v>Angiografia</v>
      </c>
      <c r="F8" s="17" t="str">
        <f>base!F124</f>
        <v>Local</v>
      </c>
      <c r="G8" s="17" t="str">
        <f>base!G124</f>
        <v>AMBULATORIAL
(setor sem diária)</v>
      </c>
      <c r="H8" s="33">
        <f>base!H124</f>
        <v>4.1666666666666664E-2</v>
      </c>
      <c r="I8" s="17" t="str">
        <f>base!I124</f>
        <v>01 Fio Zipwire; 02 Cateter diagnóstico + 01 introdutor</v>
      </c>
      <c r="J8" s="17" t="str">
        <f>base!J124</f>
        <v>Boston OU Abbot</v>
      </c>
      <c r="K8" s="17" t="str">
        <f>base!K124</f>
        <v>-</v>
      </c>
      <c r="L8" s="47">
        <f>base!L124</f>
        <v>4006.8</v>
      </c>
      <c r="M8" s="48" t="str">
        <f>base!M124</f>
        <v>não disponivel</v>
      </c>
      <c r="N8" s="48" t="str">
        <f>base!N124</f>
        <v>-</v>
      </c>
    </row>
    <row r="9" spans="1:14" ht="50.1" customHeight="1">
      <c r="B9" s="17">
        <f>base!B125</f>
        <v>30908078</v>
      </c>
      <c r="C9" s="17">
        <f>base!C125</f>
        <v>39090019</v>
      </c>
      <c r="D9" s="17" t="str">
        <f>base!D125</f>
        <v>VASCULAR</v>
      </c>
      <c r="E9" s="24" t="str">
        <f>base!E125</f>
        <v>Fístula Arteriovenosa direta</v>
      </c>
      <c r="F9" s="17" t="str">
        <f>base!F125</f>
        <v>Local / Sedação</v>
      </c>
      <c r="G9" s="17" t="str">
        <f>base!G125</f>
        <v>Day</v>
      </c>
      <c r="H9" s="33">
        <f>base!H125</f>
        <v>4.1666666666666664E-2</v>
      </c>
      <c r="I9" s="17" t="str">
        <f>base!I125</f>
        <v>-</v>
      </c>
      <c r="J9" s="17" t="str">
        <f>base!J125</f>
        <v>BBraun OU Life Port</v>
      </c>
      <c r="K9" s="17" t="str">
        <f>base!K125</f>
        <v>Exclui enxerto</v>
      </c>
      <c r="L9" s="47">
        <f>base!L125</f>
        <v>3090.96</v>
      </c>
      <c r="M9" s="48">
        <f>base!M125</f>
        <v>2163.672</v>
      </c>
      <c r="N9" s="48" t="str">
        <f>base!N125</f>
        <v>-</v>
      </c>
    </row>
    <row r="10" spans="1:14" ht="50.1" customHeight="1">
      <c r="B10" s="17">
        <f>base!B126</f>
        <v>30913101</v>
      </c>
      <c r="C10" s="17">
        <f>base!C126</f>
        <v>39090043</v>
      </c>
      <c r="D10" s="17" t="str">
        <f>base!D126</f>
        <v>VASCULAR</v>
      </c>
      <c r="E10" s="24" t="str">
        <f>base!E126</f>
        <v>Implante cirurgico de catéter de longa permancência</v>
      </c>
      <c r="F10" s="17" t="str">
        <f>base!F126</f>
        <v>Local / Sedação</v>
      </c>
      <c r="G10" s="17" t="str">
        <f>base!G126</f>
        <v>Day</v>
      </c>
      <c r="H10" s="33">
        <f>base!H126</f>
        <v>8.3333333333333329E-2</v>
      </c>
      <c r="I10" s="17" t="str">
        <f>base!I126</f>
        <v>01 Port-a-Cath BBraun ou Life Port</v>
      </c>
      <c r="J10" s="17" t="str">
        <f>base!J126</f>
        <v>Life Port OU Bbraun</v>
      </c>
      <c r="K10" s="17" t="str">
        <f>base!K126</f>
        <v>-</v>
      </c>
      <c r="L10" s="47">
        <f>base!L126</f>
        <v>6868.8</v>
      </c>
      <c r="M10" s="48">
        <f>base!M126</f>
        <v>5495.0400000000009</v>
      </c>
      <c r="N10" s="48" t="str">
        <f>base!N126</f>
        <v>-</v>
      </c>
    </row>
    <row r="11" spans="1:14" ht="50.1" customHeight="1">
      <c r="B11" s="17">
        <f>base!B127</f>
        <v>30913128</v>
      </c>
      <c r="C11" s="17">
        <f>base!C127</f>
        <v>39090051</v>
      </c>
      <c r="D11" s="17" t="str">
        <f>base!D127</f>
        <v>VASCULAR</v>
      </c>
      <c r="E11" s="24" t="str">
        <f>base!E127</f>
        <v>Retirada cirúrgica de cateter de longa permanência</v>
      </c>
      <c r="F11" s="17" t="str">
        <f>base!F127</f>
        <v>Local / Sedação</v>
      </c>
      <c r="G11" s="17" t="str">
        <f>base!G127</f>
        <v>Day</v>
      </c>
      <c r="H11" s="33">
        <f>base!H127</f>
        <v>4.1666666666666664E-2</v>
      </c>
      <c r="I11" s="17" t="str">
        <f>base!I127</f>
        <v>-</v>
      </c>
      <c r="J11" s="17" t="str">
        <f>base!J127</f>
        <v>-</v>
      </c>
      <c r="K11" s="17" t="str">
        <f>base!K127</f>
        <v>-</v>
      </c>
      <c r="L11" s="47">
        <f>base!L127</f>
        <v>3892.32</v>
      </c>
      <c r="M11" s="48">
        <f>base!M127</f>
        <v>2724.6239999999998</v>
      </c>
      <c r="N11" s="48" t="str">
        <f>base!N127</f>
        <v>-</v>
      </c>
    </row>
    <row r="12" spans="1:14" ht="50.1" customHeight="1">
      <c r="B12" s="17">
        <f>base!B128</f>
        <v>30907136</v>
      </c>
      <c r="C12" s="17">
        <f>base!C128</f>
        <v>39030113</v>
      </c>
      <c r="D12" s="17" t="str">
        <f>base!D128</f>
        <v>VASCULAR</v>
      </c>
      <c r="E12" s="24" t="str">
        <f>base!E128</f>
        <v>Varizes - Tratamento Cirurgico</v>
      </c>
      <c r="F12" s="17" t="str">
        <f>base!F128</f>
        <v>Geral</v>
      </c>
      <c r="G12" s="17" t="str">
        <f>base!G128</f>
        <v>Day</v>
      </c>
      <c r="H12" s="33">
        <f>base!H128</f>
        <v>8.3333333333333329E-2</v>
      </c>
      <c r="I12" s="17" t="str">
        <f>base!I128</f>
        <v>até 2 Fleboextrator descartável</v>
      </c>
      <c r="J12" s="17" t="str">
        <f>base!J128</f>
        <v>Estoque</v>
      </c>
      <c r="K12" s="17" t="str">
        <f>base!K128</f>
        <v>-</v>
      </c>
      <c r="L12" s="47">
        <f>base!L128</f>
        <v>5495.04</v>
      </c>
      <c r="M12" s="48">
        <f>base!M128</f>
        <v>4396.0320000000002</v>
      </c>
      <c r="N12" s="48">
        <f>base!N128</f>
        <v>390</v>
      </c>
    </row>
  </sheetData>
  <sheetProtection algorithmName="SHA-512" hashValue="OJECUPKG1Q0F15y4aQNmk0UAmNe7Kd6y6150CdwPpGku0kxFznfWn0SOTKm1iwVjBdhgYcoMlAvG5Icga1VpQg==" saltValue="gecijif+0nbVRedMMG6xFw==" spinCount="100000" sheet="1" objects="1" scenarios="1"/>
  <printOptions horizontalCentered="1"/>
  <pageMargins left="0.11811023622047245" right="0.11811023622047245" top="0.98425196850393704" bottom="0.39370078740157483" header="0.19685039370078741" footer="0.31496062992125984"/>
  <pageSetup paperSize="9" scale="85" orientation="landscape" verticalDpi="0" r:id="rId1"/>
  <headerFooter>
    <oddHeader>&amp;L&amp;G&amp;C&amp;"-,Negrito"&amp;12PREÇOS PADRONIZADOS -PARTICULAR
&amp;K03+000CIRURGIA VASCULAR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8"/>
  <dimension ref="A1:N16"/>
  <sheetViews>
    <sheetView showGridLines="0" topLeftCell="A3" zoomScale="90" zoomScaleNormal="90" workbookViewId="0">
      <selection activeCell="X14" sqref="X14"/>
    </sheetView>
  </sheetViews>
  <sheetFormatPr defaultRowHeight="15"/>
  <cols>
    <col min="3" max="3" width="9.140625" customWidth="1"/>
    <col min="5" max="5" width="29.28515625" customWidth="1"/>
    <col min="7" max="7" width="16.28515625" customWidth="1"/>
    <col min="8" max="8" width="0" style="5" hidden="1" customWidth="1"/>
    <col min="9" max="9" width="25.85546875" customWidth="1"/>
    <col min="10" max="10" width="20.42578125" hidden="1" customWidth="1"/>
    <col min="11" max="11" width="20.7109375" hidden="1" customWidth="1"/>
    <col min="12" max="12" width="16.7109375" style="4" customWidth="1"/>
    <col min="13" max="14" width="16.42578125" style="49" customWidth="1"/>
  </cols>
  <sheetData>
    <row r="1" spans="1:14">
      <c r="E1" s="9"/>
      <c r="K1" s="4"/>
      <c r="L1"/>
    </row>
    <row r="2" spans="1:14" ht="25.5">
      <c r="A2" s="10"/>
      <c r="B2" s="11"/>
      <c r="C2" s="10"/>
      <c r="D2" s="10"/>
      <c r="E2" s="10"/>
      <c r="F2" s="10"/>
      <c r="G2" s="10"/>
      <c r="H2" s="10"/>
      <c r="I2" s="10"/>
      <c r="L2"/>
    </row>
    <row r="3" spans="1:14">
      <c r="A3" s="10"/>
      <c r="B3" s="10"/>
      <c r="C3" s="10"/>
      <c r="D3" s="10"/>
      <c r="E3" s="10"/>
      <c r="F3" s="10"/>
      <c r="G3" s="10"/>
      <c r="H3" s="10"/>
      <c r="I3" s="10"/>
      <c r="L3"/>
    </row>
    <row r="4" spans="1:14">
      <c r="A4" s="10"/>
      <c r="B4" s="10"/>
      <c r="C4" s="10"/>
      <c r="D4" s="10"/>
      <c r="E4" s="10"/>
      <c r="F4" s="10"/>
      <c r="G4" s="10"/>
      <c r="H4" s="10"/>
      <c r="I4" s="10"/>
      <c r="L4"/>
    </row>
    <row r="5" spans="1:14">
      <c r="A5" s="10"/>
      <c r="B5" s="10"/>
      <c r="C5" s="10"/>
      <c r="D5" s="10"/>
      <c r="E5" s="10"/>
      <c r="F5" s="10"/>
      <c r="G5" s="10"/>
      <c r="H5" s="10"/>
      <c r="I5" s="10"/>
      <c r="L5"/>
    </row>
    <row r="8" spans="1:14" s="1" customFormat="1" ht="42" customHeight="1">
      <c r="B8" s="43" t="str">
        <f>base!B2</f>
        <v>Código</v>
      </c>
      <c r="C8" s="43" t="str">
        <f>base!C2</f>
        <v>Código AMB</v>
      </c>
      <c r="D8" s="43" t="str">
        <f>base!D2</f>
        <v>Especialidade</v>
      </c>
      <c r="E8" s="43" t="str">
        <f>base!E2</f>
        <v>Procedimento</v>
      </c>
      <c r="F8" s="43" t="str">
        <f>base!F2</f>
        <v>Tipo de Anestesia</v>
      </c>
      <c r="G8" s="43" t="str">
        <f>base!G2</f>
        <v>Diárias</v>
      </c>
      <c r="H8" s="43" t="str">
        <f>base!H2</f>
        <v>Tempo Sala</v>
      </c>
      <c r="I8" s="43" t="str">
        <f>base!I2</f>
        <v>Itens inclusos - OPME</v>
      </c>
      <c r="J8" s="43" t="str">
        <f>base!J2</f>
        <v>Fornecedor Homologado - itens inclusos</v>
      </c>
      <c r="K8" s="43" t="str">
        <f>base!K2</f>
        <v>Itens exclusos</v>
      </c>
      <c r="L8" s="43" t="str">
        <f>base!L2</f>
        <v>Vera Cruz Hospital</v>
      </c>
      <c r="M8" s="50" t="str">
        <f>base!M2</f>
        <v>Vera Cruz Casa Saude</v>
      </c>
      <c r="N8" s="50" t="str">
        <f>base!N2</f>
        <v>Anatomo Patologico Multipat</v>
      </c>
    </row>
    <row r="9" spans="1:14" ht="50.1" customHeight="1">
      <c r="B9" s="17">
        <f>base!B42</f>
        <v>0</v>
      </c>
      <c r="C9" s="17">
        <f>base!C42</f>
        <v>94040004</v>
      </c>
      <c r="D9" s="17" t="str">
        <f>base!D42</f>
        <v>GASTRO</v>
      </c>
      <c r="E9" s="24" t="str">
        <f>base!E42</f>
        <v>Colonoscopia Ambulatorial</v>
      </c>
      <c r="F9" s="17" t="str">
        <f>base!F42</f>
        <v>Sedação</v>
      </c>
      <c r="G9" s="17" t="str">
        <f>base!G42</f>
        <v>AMBULATORIAL
(setor sem diária)</v>
      </c>
      <c r="H9" s="33">
        <f>base!H42</f>
        <v>0</v>
      </c>
      <c r="I9" s="17" t="str">
        <f>base!I42</f>
        <v>-</v>
      </c>
      <c r="J9" s="17" t="str">
        <f>base!J42</f>
        <v>-</v>
      </c>
      <c r="K9" s="17" t="str">
        <f>base!K42</f>
        <v>Exclui OPME</v>
      </c>
      <c r="L9" s="47">
        <f>base!L42</f>
        <v>896.37840000000006</v>
      </c>
      <c r="M9" s="48">
        <f>base!M42</f>
        <v>626.4</v>
      </c>
      <c r="N9" s="48">
        <f>base!N42</f>
        <v>500</v>
      </c>
    </row>
    <row r="10" spans="1:14" ht="50.1" customHeight="1">
      <c r="B10" s="17">
        <f>base!B43</f>
        <v>0</v>
      </c>
      <c r="C10" s="17">
        <f>base!C43</f>
        <v>94010000</v>
      </c>
      <c r="D10" s="17" t="str">
        <f>base!D43</f>
        <v>GASTRO</v>
      </c>
      <c r="E10" s="24" t="str">
        <f>base!E43</f>
        <v>Colonoscopia COM Polipectomia</v>
      </c>
      <c r="F10" s="17" t="str">
        <f>base!F43</f>
        <v>Sedação</v>
      </c>
      <c r="G10" s="17" t="str">
        <f>base!G43</f>
        <v>AMBULATORIAL
(setor sem diária)</v>
      </c>
      <c r="H10" s="33">
        <f>base!H43</f>
        <v>0</v>
      </c>
      <c r="I10" s="17" t="str">
        <f>base!I43</f>
        <v>Pinça para biópsia Desc.Oval 240cm</v>
      </c>
      <c r="J10" s="17" t="str">
        <f>base!J43</f>
        <v>Estoque</v>
      </c>
      <c r="K10" s="17">
        <f>base!K43</f>
        <v>0</v>
      </c>
      <c r="L10" s="47">
        <f>base!L43</f>
        <v>975.3696000000001</v>
      </c>
      <c r="M10" s="48">
        <f>base!M43</f>
        <v>780.29568000000017</v>
      </c>
      <c r="N10" s="48">
        <f>base!N43</f>
        <v>500</v>
      </c>
    </row>
    <row r="11" spans="1:14" ht="50.1" customHeight="1">
      <c r="B11" s="17">
        <f>base!B44</f>
        <v>0</v>
      </c>
      <c r="C11" s="17">
        <f>base!C44</f>
        <v>94040002</v>
      </c>
      <c r="D11" s="17" t="str">
        <f>base!D44</f>
        <v>GASTRO</v>
      </c>
      <c r="E11" s="24" t="str">
        <f>base!E44</f>
        <v>Endoscopia Ambulatorial</v>
      </c>
      <c r="F11" s="17" t="str">
        <f>base!F44</f>
        <v>Sedação</v>
      </c>
      <c r="G11" s="17" t="str">
        <f>base!G44</f>
        <v>AMBULATORIAL
(setor sem diária)</v>
      </c>
      <c r="H11" s="33">
        <f>base!H44</f>
        <v>0</v>
      </c>
      <c r="I11" s="17" t="str">
        <f>base!I44</f>
        <v>-</v>
      </c>
      <c r="J11" s="17" t="str">
        <f>base!J44</f>
        <v>-</v>
      </c>
      <c r="K11" s="17" t="str">
        <f>base!K44</f>
        <v>Exclui OPME</v>
      </c>
      <c r="L11" s="47">
        <f>base!L44</f>
        <v>913.55040000000008</v>
      </c>
      <c r="M11" s="48">
        <f>base!M44</f>
        <v>638.4</v>
      </c>
      <c r="N11" s="48">
        <f>base!N44</f>
        <v>500</v>
      </c>
    </row>
    <row r="12" spans="1:14" ht="50.1" customHeight="1">
      <c r="B12" s="17">
        <f>base!B45</f>
        <v>0</v>
      </c>
      <c r="C12" s="17">
        <f>base!C45</f>
        <v>94040003</v>
      </c>
      <c r="D12" s="17" t="str">
        <f>base!D45</f>
        <v>GASTRO</v>
      </c>
      <c r="E12" s="24" t="str">
        <f>base!E45</f>
        <v>Endoscopia Ambulatorial COM Polipectomia</v>
      </c>
      <c r="F12" s="17" t="str">
        <f>base!F45</f>
        <v>Sedação</v>
      </c>
      <c r="G12" s="17" t="str">
        <f>base!G45</f>
        <v>AMBULATORIAL
(setor sem diária)</v>
      </c>
      <c r="H12" s="33">
        <f>base!H45</f>
        <v>0</v>
      </c>
      <c r="I12" s="17" t="str">
        <f>base!I45</f>
        <v>Pinça para biópsia Desc.Oval 240cm</v>
      </c>
      <c r="J12" s="17" t="str">
        <f>base!J45</f>
        <v>Estoque</v>
      </c>
      <c r="K12" s="17">
        <f>base!K45</f>
        <v>0</v>
      </c>
      <c r="L12" s="47">
        <f>base!L45</f>
        <v>1014.8652000000001</v>
      </c>
      <c r="M12" s="48">
        <f>base!M45</f>
        <v>811.8921600000001</v>
      </c>
      <c r="N12" s="48">
        <f>base!N45</f>
        <v>500</v>
      </c>
    </row>
    <row r="13" spans="1:14" ht="25.5">
      <c r="B13" s="17">
        <f>base!B46</f>
        <v>94010081</v>
      </c>
      <c r="C13" s="17">
        <f>base!C46</f>
        <v>94010081</v>
      </c>
      <c r="D13" s="17" t="str">
        <f>base!D46</f>
        <v>GASTRO</v>
      </c>
      <c r="E13" s="24" t="str">
        <f>base!E46</f>
        <v>Gastroplastia para obesidade mórbida – CONVENCIONAL</v>
      </c>
      <c r="F13" s="17" t="str">
        <f>base!F46</f>
        <v>Qualquer Tipo</v>
      </c>
      <c r="G13" s="17">
        <f>base!G46</f>
        <v>3</v>
      </c>
      <c r="H13" s="33">
        <f>base!H46</f>
        <v>0.125</v>
      </c>
      <c r="I13" s="17" t="str">
        <f>base!I46</f>
        <v>01 grampeador linear TCL;  01 carga para grampeador</v>
      </c>
      <c r="J13" s="17" t="str">
        <f>base!J46</f>
        <v>Johnson OU Medtronik</v>
      </c>
      <c r="K13" s="17" t="str">
        <f>base!K46</f>
        <v>-</v>
      </c>
      <c r="L13" s="47">
        <f>base!L46</f>
        <v>17629.920000000002</v>
      </c>
      <c r="M13" s="48">
        <f>base!M46</f>
        <v>14103.936000000002</v>
      </c>
      <c r="N13" s="48">
        <f>base!N46</f>
        <v>550</v>
      </c>
    </row>
    <row r="14" spans="1:14" ht="38.25">
      <c r="B14" s="17">
        <f>base!B47</f>
        <v>94010082</v>
      </c>
      <c r="C14" s="17">
        <f>base!C47</f>
        <v>94010082</v>
      </c>
      <c r="D14" s="17" t="str">
        <f>base!D47</f>
        <v>GASTRO</v>
      </c>
      <c r="E14" s="24" t="str">
        <f>base!E47</f>
        <v>Gastroplastia para obesidade mórbida – VIDEOLAPAROSCOPIA</v>
      </c>
      <c r="F14" s="17" t="str">
        <f>base!F47</f>
        <v>qualquer Tipo</v>
      </c>
      <c r="G14" s="17">
        <f>base!G47</f>
        <v>3</v>
      </c>
      <c r="H14" s="33">
        <f>base!H47</f>
        <v>0.125</v>
      </c>
      <c r="I14" s="17" t="str">
        <f>base!I47</f>
        <v>01 Endogrampeador de 45; 07 Cargas;  01 trocater;  01 Tesoura de Coagulação</v>
      </c>
      <c r="J14" s="17" t="str">
        <f>base!J47</f>
        <v>Kits Johnson OU Kit Medtronik</v>
      </c>
      <c r="K14" s="17" t="str">
        <f>base!K47</f>
        <v>-</v>
      </c>
      <c r="L14" s="47">
        <f>base!L47</f>
        <v>25758</v>
      </c>
      <c r="M14" s="48">
        <f>base!M47</f>
        <v>20606.400000000001</v>
      </c>
      <c r="N14" s="48">
        <f>base!N47</f>
        <v>550</v>
      </c>
    </row>
    <row r="15" spans="1:14" ht="38.25">
      <c r="B15" s="17">
        <f>base!B48</f>
        <v>94010082</v>
      </c>
      <c r="C15" s="17">
        <f>base!C48</f>
        <v>94010082</v>
      </c>
      <c r="D15" s="17" t="str">
        <f>base!D48</f>
        <v>GASTRO</v>
      </c>
      <c r="E15" s="24" t="str">
        <f>base!E48</f>
        <v>Gastroplastia para obesidade mórbida – VIDEOLAPAROSCOPIA</v>
      </c>
      <c r="F15" s="17" t="str">
        <f>base!F48</f>
        <v>qualquer Tipo</v>
      </c>
      <c r="G15" s="17">
        <f>base!G48</f>
        <v>2</v>
      </c>
      <c r="H15" s="33">
        <f>base!H48</f>
        <v>0.125</v>
      </c>
      <c r="I15" s="17" t="str">
        <f>base!I48</f>
        <v>01 Endogrampeador de 45; 07 Cargas;  01 trocater;  01 Tesoura de Coagulação</v>
      </c>
      <c r="J15" s="17" t="str">
        <f>base!J48</f>
        <v>Kits Johnson OU Kit Medtronik</v>
      </c>
      <c r="K15" s="17" t="str">
        <f>base!K48</f>
        <v>-</v>
      </c>
      <c r="L15" s="47">
        <f>base!L48</f>
        <v>20606.400000000001</v>
      </c>
      <c r="M15" s="48">
        <f>base!M48</f>
        <v>16485.120000000003</v>
      </c>
      <c r="N15" s="48">
        <f>base!N48</f>
        <v>550</v>
      </c>
    </row>
    <row r="16" spans="1:14" ht="38.25">
      <c r="B16" s="17">
        <f>base!B49</f>
        <v>94010082</v>
      </c>
      <c r="C16" s="17">
        <f>base!C49</f>
        <v>94010082</v>
      </c>
      <c r="D16" s="17" t="str">
        <f>base!D49</f>
        <v>GASTRO</v>
      </c>
      <c r="E16" s="24" t="str">
        <f>base!E49</f>
        <v>Gastroplastia para obesidade mórbida – VIDEOLAPAROSCOPIA</v>
      </c>
      <c r="F16" s="17" t="str">
        <f>base!F49</f>
        <v>qualquer Tipo</v>
      </c>
      <c r="G16" s="17">
        <f>base!G49</f>
        <v>1</v>
      </c>
      <c r="H16" s="33">
        <f>base!H49</f>
        <v>0.125</v>
      </c>
      <c r="I16" s="17" t="str">
        <f>base!I49</f>
        <v>01 Endogrampeador de 45; 07 Cargas;  01 trocater;  01 Tesoura de Coagulação</v>
      </c>
      <c r="J16" s="17" t="str">
        <f>base!J49</f>
        <v>Kits Johnson OU Kit Medtronik</v>
      </c>
      <c r="K16" s="17" t="str">
        <f>base!K49</f>
        <v>-</v>
      </c>
      <c r="L16" s="47">
        <f>base!L49</f>
        <v>17172</v>
      </c>
      <c r="M16" s="48">
        <f>base!M49</f>
        <v>13737.6</v>
      </c>
      <c r="N16" s="48">
        <f>base!N49</f>
        <v>550</v>
      </c>
    </row>
  </sheetData>
  <sheetProtection algorithmName="SHA-512" hashValue="VR2zmG7ssRhXranh0gxDMIMkyQ144j4PU7AM38RX87lmKloMJR4zm8mVTB7awEBw07Eo6lKF+SVVwxRoiYVhHg==" saltValue="9s/+g4veeFi9VpMKO1IW2w==" spinCount="100000" sheet="1" objects="1" scenarios="1"/>
  <printOptions horizontalCentered="1"/>
  <pageMargins left="0.11811023622047245" right="0.11811023622047245" top="0.98425196850393704" bottom="0.78740157480314965" header="0.19685039370078741" footer="0.31496062992125984"/>
  <pageSetup paperSize="9" scale="85" orientation="landscape" r:id="rId1"/>
  <headerFooter>
    <oddHeader>&amp;L&amp;G&amp;CHOSPITAL VERA CRUZ
&amp;"-,Negrito"&amp;12PREÇOS PADRONIZADOS -PARTICULAR
 &amp;K03+000GASTROENTEROLOGIA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9"/>
  <dimension ref="A1:N29"/>
  <sheetViews>
    <sheetView showGridLines="0" topLeftCell="A20" workbookViewId="0">
      <selection activeCell="L26" sqref="L26"/>
    </sheetView>
  </sheetViews>
  <sheetFormatPr defaultRowHeight="15"/>
  <cols>
    <col min="2" max="2" width="10" bestFit="1" customWidth="1"/>
    <col min="3" max="3" width="9" customWidth="1"/>
    <col min="4" max="4" width="12" customWidth="1"/>
    <col min="5" max="5" width="26.7109375" customWidth="1"/>
    <col min="6" max="6" width="13.42578125" customWidth="1"/>
    <col min="7" max="7" width="13.5703125" customWidth="1"/>
    <col min="8" max="8" width="7.85546875" style="5" bestFit="1" customWidth="1"/>
    <col min="9" max="9" width="19.5703125" customWidth="1"/>
    <col min="10" max="10" width="20" customWidth="1"/>
    <col min="11" max="11" width="19.5703125" customWidth="1"/>
    <col min="12" max="12" width="14.42578125" style="4" customWidth="1"/>
    <col min="13" max="13" width="15" style="49" bestFit="1" customWidth="1"/>
    <col min="14" max="14" width="22" style="49" customWidth="1"/>
  </cols>
  <sheetData>
    <row r="1" spans="1:14">
      <c r="E1" s="9"/>
      <c r="K1" s="4"/>
      <c r="L1"/>
    </row>
    <row r="2" spans="1:14" ht="25.5">
      <c r="A2" s="10"/>
      <c r="B2" s="11"/>
      <c r="C2" s="10"/>
      <c r="D2" s="10"/>
      <c r="E2" s="10"/>
      <c r="F2" s="10"/>
      <c r="G2" s="10"/>
      <c r="H2" s="10"/>
      <c r="I2" s="10"/>
      <c r="L2"/>
    </row>
    <row r="3" spans="1:14">
      <c r="A3" s="10"/>
      <c r="B3" s="10"/>
      <c r="C3" s="10"/>
      <c r="D3" s="10"/>
      <c r="E3" s="10"/>
      <c r="F3" s="10"/>
      <c r="G3" s="10"/>
      <c r="H3" s="10"/>
      <c r="I3" s="10"/>
      <c r="L3"/>
    </row>
    <row r="4" spans="1:14">
      <c r="A4" s="10"/>
      <c r="B4" s="10"/>
      <c r="C4" s="10"/>
      <c r="D4" s="10"/>
      <c r="E4" s="10"/>
      <c r="F4" s="10"/>
      <c r="G4" s="10"/>
      <c r="H4" s="10"/>
      <c r="I4" s="10"/>
      <c r="L4"/>
    </row>
    <row r="5" spans="1:14">
      <c r="A5" s="10"/>
      <c r="B5" s="10"/>
      <c r="C5" s="10"/>
      <c r="D5" s="10"/>
      <c r="E5" s="10"/>
      <c r="F5" s="10"/>
      <c r="G5" s="10"/>
      <c r="H5" s="10"/>
      <c r="I5" s="10"/>
      <c r="L5"/>
    </row>
    <row r="8" spans="1:14" s="1" customFormat="1" ht="42" customHeight="1">
      <c r="B8" s="43" t="str">
        <f>base!B2</f>
        <v>Código</v>
      </c>
      <c r="C8" s="43" t="str">
        <f>base!C2</f>
        <v>Código AMB</v>
      </c>
      <c r="D8" s="43" t="str">
        <f>base!D2</f>
        <v>Especialidade</v>
      </c>
      <c r="E8" s="43" t="str">
        <f>base!E2</f>
        <v>Procedimento</v>
      </c>
      <c r="F8" s="43" t="str">
        <f>base!F2</f>
        <v>Tipo de Anestesia</v>
      </c>
      <c r="G8" s="43" t="str">
        <f>base!G2</f>
        <v>Diárias</v>
      </c>
      <c r="H8" s="43" t="str">
        <f>base!H2</f>
        <v>Tempo Sala</v>
      </c>
      <c r="I8" s="43" t="str">
        <f>base!I2</f>
        <v>Itens inclusos - OPME</v>
      </c>
      <c r="J8" s="43" t="str">
        <f>base!J2</f>
        <v>Fornecedor Homologado - itens inclusos</v>
      </c>
      <c r="K8" s="43" t="str">
        <f>base!K2</f>
        <v>Itens exclusos</v>
      </c>
      <c r="L8" s="43" t="str">
        <f>base!L2</f>
        <v>Vera Cruz Hospital</v>
      </c>
      <c r="M8" s="50" t="str">
        <f>base!M2</f>
        <v>Vera Cruz Casa Saude</v>
      </c>
      <c r="N8" s="50" t="str">
        <f>base!N2</f>
        <v>Anatomo Patologico Multipat</v>
      </c>
    </row>
    <row r="9" spans="1:14" ht="50.1" customHeight="1">
      <c r="B9" s="17">
        <f>base!B50</f>
        <v>31309046</v>
      </c>
      <c r="C9" s="17">
        <f>base!C50</f>
        <v>45080011</v>
      </c>
      <c r="D9" s="17" t="str">
        <f>base!D50</f>
        <v>GINECOLOGIA</v>
      </c>
      <c r="E9" s="17" t="str">
        <f>base!E50</f>
        <v>Cerclagem do Colo Uterino</v>
      </c>
      <c r="F9" s="17" t="str">
        <f>base!F50</f>
        <v>Sedação</v>
      </c>
      <c r="G9" s="17" t="str">
        <f>base!G50</f>
        <v>Day</v>
      </c>
      <c r="H9" s="33">
        <f>base!H50</f>
        <v>4.1666666666666664E-2</v>
      </c>
      <c r="I9" s="17" t="str">
        <f>base!I50</f>
        <v>-</v>
      </c>
      <c r="J9" s="17" t="str">
        <f>base!J50</f>
        <v>-</v>
      </c>
      <c r="K9" s="17" t="str">
        <f>base!K50</f>
        <v>Exclui OPME</v>
      </c>
      <c r="L9" s="47">
        <f>base!L50</f>
        <v>4006.8</v>
      </c>
      <c r="M9" s="48">
        <f>base!M50</f>
        <v>2804.7599999999998</v>
      </c>
      <c r="N9" s="48">
        <f>base!N50</f>
        <v>390</v>
      </c>
    </row>
    <row r="10" spans="1:14" ht="50.1" customHeight="1">
      <c r="B10" s="17">
        <f>base!B51</f>
        <v>31309046</v>
      </c>
      <c r="C10" s="17">
        <f>base!C51</f>
        <v>45080011</v>
      </c>
      <c r="D10" s="17" t="str">
        <f>base!D51</f>
        <v>GINECOLOGIA</v>
      </c>
      <c r="E10" s="17" t="str">
        <f>base!E51</f>
        <v>Cerclagem do Colo Uterino</v>
      </c>
      <c r="F10" s="17" t="str">
        <f>base!F51</f>
        <v>Raqui / Sedação</v>
      </c>
      <c r="G10" s="17" t="str">
        <f>base!G51</f>
        <v>Day</v>
      </c>
      <c r="H10" s="33">
        <f>base!H51</f>
        <v>4.1666666666666664E-2</v>
      </c>
      <c r="I10" s="17" t="str">
        <f>base!I51</f>
        <v>-</v>
      </c>
      <c r="J10" s="17" t="str">
        <f>base!J51</f>
        <v>-</v>
      </c>
      <c r="K10" s="17" t="str">
        <f>base!K51</f>
        <v>Exclui OPME</v>
      </c>
      <c r="L10" s="47">
        <f>base!L51</f>
        <v>4808.1600000000008</v>
      </c>
      <c r="M10" s="48">
        <f>base!M51</f>
        <v>3365.7120000000004</v>
      </c>
      <c r="N10" s="48">
        <f>base!N51</f>
        <v>390</v>
      </c>
    </row>
    <row r="11" spans="1:14" ht="50.1" customHeight="1">
      <c r="B11" s="17">
        <f>base!B52</f>
        <v>31303056</v>
      </c>
      <c r="C11" s="17">
        <f>base!C52</f>
        <v>45050031</v>
      </c>
      <c r="D11" s="17" t="str">
        <f>base!D52</f>
        <v>GINECOLOGIA</v>
      </c>
      <c r="E11" s="17" t="str">
        <f>base!E52</f>
        <v xml:space="preserve">Curetagem </v>
      </c>
      <c r="F11" s="17" t="str">
        <f>base!F52</f>
        <v>Qualquer Tipo</v>
      </c>
      <c r="G11" s="17">
        <f>base!G52</f>
        <v>1</v>
      </c>
      <c r="H11" s="33">
        <f>base!H52</f>
        <v>4.1666666666666664E-2</v>
      </c>
      <c r="I11" s="17" t="str">
        <f>base!I52</f>
        <v>-</v>
      </c>
      <c r="J11" s="17" t="str">
        <f>base!J52</f>
        <v>-</v>
      </c>
      <c r="K11" s="17" t="str">
        <f>base!K52</f>
        <v>Exclui Anatomo</v>
      </c>
      <c r="L11" s="47">
        <f>base!L52</f>
        <v>4808.1600000000008</v>
      </c>
      <c r="M11" s="48">
        <f>base!M52</f>
        <v>3365.7120000000004</v>
      </c>
      <c r="N11" s="48">
        <f>base!N52</f>
        <v>550</v>
      </c>
    </row>
    <row r="12" spans="1:14" ht="50.1" customHeight="1">
      <c r="B12" s="17">
        <f>base!B53</f>
        <v>30602092</v>
      </c>
      <c r="C12" s="17">
        <f>base!C53</f>
        <v>47010177</v>
      </c>
      <c r="D12" s="17" t="str">
        <f>base!D53</f>
        <v>GINECOLOGIA</v>
      </c>
      <c r="E12" s="17" t="str">
        <f>base!E53</f>
        <v>Exerese de nódulo de mama</v>
      </c>
      <c r="F12" s="17" t="str">
        <f>base!F53</f>
        <v>Qualquer Tipo</v>
      </c>
      <c r="G12" s="17" t="str">
        <f>base!G53</f>
        <v>Day</v>
      </c>
      <c r="H12" s="33">
        <f>base!H53</f>
        <v>4.1666666666666664E-2</v>
      </c>
      <c r="I12" s="17" t="str">
        <f>base!I53</f>
        <v>-</v>
      </c>
      <c r="J12" s="17" t="str">
        <f>base!J53</f>
        <v>-</v>
      </c>
      <c r="K12" s="17" t="str">
        <f>base!K53</f>
        <v>Exclui OPME, Anatomo e  biópsia por congelação</v>
      </c>
      <c r="L12" s="47">
        <f>base!L53</f>
        <v>5151.6000000000004</v>
      </c>
      <c r="M12" s="48">
        <f>base!M53</f>
        <v>3606.12</v>
      </c>
      <c r="N12" s="48">
        <f>base!N53</f>
        <v>550</v>
      </c>
    </row>
    <row r="13" spans="1:14" ht="50.1" customHeight="1">
      <c r="B13" s="17">
        <f>base!B54</f>
        <v>31303102</v>
      </c>
      <c r="C13" s="17">
        <f>base!C54</f>
        <v>53040120</v>
      </c>
      <c r="D13" s="17" t="str">
        <f>base!D54</f>
        <v>GINECOLOGIA</v>
      </c>
      <c r="E13" s="17" t="str">
        <f>base!E54</f>
        <v>Histerectomia total / abdominal</v>
      </c>
      <c r="F13" s="17" t="str">
        <f>base!F54</f>
        <v>Qualquer Tipo</v>
      </c>
      <c r="G13" s="17">
        <f>base!G54</f>
        <v>3</v>
      </c>
      <c r="H13" s="33">
        <f>base!H54</f>
        <v>0.125</v>
      </c>
      <c r="I13" s="17" t="str">
        <f>base!I54</f>
        <v>-</v>
      </c>
      <c r="J13" s="17" t="str">
        <f>base!J54</f>
        <v>-</v>
      </c>
      <c r="K13" s="17" t="str">
        <f>base!K54</f>
        <v>Exclui OPME, Anatomo e  biópsia por congelação</v>
      </c>
      <c r="L13" s="47">
        <f>base!L54</f>
        <v>13165.2</v>
      </c>
      <c r="M13" s="48">
        <f>base!M54</f>
        <v>9215.64</v>
      </c>
      <c r="N13" s="48" t="str">
        <f>base!N54</f>
        <v>R$ 700,00 (por mioma)
R$ 1450,00 (Tumoral)</v>
      </c>
    </row>
    <row r="14" spans="1:14" ht="50.1" customHeight="1">
      <c r="B14" s="17">
        <f>base!B55</f>
        <v>31303218</v>
      </c>
      <c r="C14" s="17" t="str">
        <f>base!C55</f>
        <v>-</v>
      </c>
      <c r="D14" s="17" t="str">
        <f>base!D55</f>
        <v>GINECOLOGIA</v>
      </c>
      <c r="E14" s="17" t="str">
        <f>base!E55</f>
        <v>Histerectomia Total Laparoscopia</v>
      </c>
      <c r="F14" s="17" t="str">
        <f>base!F55</f>
        <v>Qualquer Tipo</v>
      </c>
      <c r="G14" s="17">
        <f>base!G55</f>
        <v>2</v>
      </c>
      <c r="H14" s="33">
        <f>base!H55</f>
        <v>0.16666666666666666</v>
      </c>
      <c r="I14" s="17" t="str">
        <f>base!I55</f>
        <v>02 trocater, 1 agulha de verres , 01 tesoura de coagulação, 01 manipulador uterino</v>
      </c>
      <c r="J14" s="17" t="str">
        <f>base!J55</f>
        <v>Johnson OU Medtronik, exceto Manipulador Multimed</v>
      </c>
      <c r="K14" s="17" t="str">
        <f>base!K55</f>
        <v>Exclui demais OPMEs, Anatomo,  biópsia por congelação e Morcelador</v>
      </c>
      <c r="L14" s="47">
        <f>base!L55</f>
        <v>18316.800000000003</v>
      </c>
      <c r="M14" s="48">
        <f>base!M55</f>
        <v>14653.440000000002</v>
      </c>
      <c r="N14" s="48" t="str">
        <f>base!N55</f>
        <v>R$ 700,00 (por mioma)
R$ 1450,00 (Tumoral)</v>
      </c>
    </row>
    <row r="15" spans="1:14" ht="50.1" customHeight="1">
      <c r="B15" s="17">
        <f>base!B56</f>
        <v>31303188</v>
      </c>
      <c r="C15" s="17">
        <f>base!C56</f>
        <v>45020060</v>
      </c>
      <c r="D15" s="17" t="str">
        <f>base!D56</f>
        <v>GINECOLOGIA</v>
      </c>
      <c r="E15" s="17" t="str">
        <f>base!E56</f>
        <v>Histeroscopia cirurgica com ressectoscopio monopolar</v>
      </c>
      <c r="F15" s="17" t="str">
        <f>base!F56</f>
        <v>Qualquer Tipo</v>
      </c>
      <c r="G15" s="17">
        <f>base!G56</f>
        <v>1</v>
      </c>
      <c r="H15" s="33">
        <f>base!H56</f>
        <v>6.25E-2</v>
      </c>
      <c r="I15" s="17" t="str">
        <f>base!I56</f>
        <v>Alça Resecção Reprocessada</v>
      </c>
      <c r="J15" s="17" t="str">
        <f>base!J56</f>
        <v>-</v>
      </c>
      <c r="K15" s="17" t="str">
        <f>base!K56</f>
        <v>Exclui OPME, Anatomo e  biópsia por congelação</v>
      </c>
      <c r="L15" s="47">
        <f>base!L56</f>
        <v>6868.8</v>
      </c>
      <c r="M15" s="48">
        <f>base!M56</f>
        <v>5495.0400000000009</v>
      </c>
      <c r="N15" s="48">
        <f>base!N56</f>
        <v>390</v>
      </c>
    </row>
    <row r="16" spans="1:14" ht="50.1" customHeight="1">
      <c r="B16" s="17">
        <f>base!B57</f>
        <v>31303188</v>
      </c>
      <c r="C16" s="17">
        <f>base!C57</f>
        <v>45020060</v>
      </c>
      <c r="D16" s="17" t="str">
        <f>base!D57</f>
        <v>GINECOLOGIA</v>
      </c>
      <c r="E16" s="17" t="str">
        <f>base!E57</f>
        <v>Histeroscopia cirurgica com ressectoscopio monopolar</v>
      </c>
      <c r="F16" s="17" t="str">
        <f>base!F57</f>
        <v>Sedação</v>
      </c>
      <c r="G16" s="17" t="str">
        <f>base!G57</f>
        <v>AMBULATORIAL
(setor sem diária)</v>
      </c>
      <c r="H16" s="33">
        <f>base!H57</f>
        <v>4.1666666666666664E-2</v>
      </c>
      <c r="I16" s="17" t="str">
        <f>base!I57</f>
        <v>Alça Resecção Reprocessada</v>
      </c>
      <c r="J16" s="17" t="str">
        <f>base!J57</f>
        <v>-</v>
      </c>
      <c r="K16" s="17" t="str">
        <f>base!K57</f>
        <v>Exclui OPME, Anatomo e  biópsia por congelação</v>
      </c>
      <c r="L16" s="47">
        <f>base!L57</f>
        <v>4235.76</v>
      </c>
      <c r="M16" s="48">
        <f>base!M57</f>
        <v>3388.6080000000002</v>
      </c>
      <c r="N16" s="48">
        <f>base!N57</f>
        <v>390</v>
      </c>
    </row>
    <row r="17" spans="2:14" ht="63.75" customHeight="1">
      <c r="B17" s="17">
        <f>base!B58</f>
        <v>31303170</v>
      </c>
      <c r="C17" s="17">
        <f>base!C58</f>
        <v>45020051</v>
      </c>
      <c r="D17" s="17" t="str">
        <f>base!D58</f>
        <v>GINECOLOGIA</v>
      </c>
      <c r="E17" s="17" t="str">
        <f>base!E58</f>
        <v>Histeroscopia diagnóstica</v>
      </c>
      <c r="F17" s="17" t="str">
        <f>base!F58</f>
        <v>Sedação</v>
      </c>
      <c r="G17" s="17" t="str">
        <f>base!G58</f>
        <v>AMBULATORIAL
(setor sem diária)</v>
      </c>
      <c r="H17" s="33">
        <f>base!H58</f>
        <v>4.1666666666666664E-2</v>
      </c>
      <c r="I17" s="17" t="str">
        <f>base!I58</f>
        <v>Alça Resecção Reprocessada</v>
      </c>
      <c r="J17" s="17" t="str">
        <f>base!J58</f>
        <v>-</v>
      </c>
      <c r="K17" s="17" t="str">
        <f>base!K58</f>
        <v>Exclui OPME, Anatomo e  biópsia por congelação</v>
      </c>
      <c r="L17" s="47">
        <f>base!L58</f>
        <v>4235.76</v>
      </c>
      <c r="M17" s="48">
        <f>base!M58</f>
        <v>3388.6080000000002</v>
      </c>
      <c r="N17" s="48">
        <f>base!N58</f>
        <v>390</v>
      </c>
    </row>
    <row r="18" spans="2:14" ht="50.1" customHeight="1">
      <c r="B18" s="17">
        <f>base!B59</f>
        <v>31103332</v>
      </c>
      <c r="C18" s="17" t="str">
        <f>base!C59</f>
        <v>-</v>
      </c>
      <c r="D18" s="17" t="str">
        <f>base!D59</f>
        <v>GINECOLOGIA</v>
      </c>
      <c r="E18" s="17" t="str">
        <f>base!E59</f>
        <v>Incontinência urinária - "sling" vaginal ou abdominal</v>
      </c>
      <c r="F18" s="17" t="str">
        <f>base!F59</f>
        <v>Qualquer Tipo</v>
      </c>
      <c r="G18" s="17">
        <f>base!G59</f>
        <v>1</v>
      </c>
      <c r="H18" s="33">
        <f>base!H59</f>
        <v>4.1666666666666664E-2</v>
      </c>
      <c r="I18" s="17" t="str">
        <f>base!I59</f>
        <v>-</v>
      </c>
      <c r="J18" s="17" t="str">
        <f>base!J59</f>
        <v>-</v>
      </c>
      <c r="K18" s="17" t="str">
        <f>base!K59</f>
        <v>Exclui tela e Sling</v>
      </c>
      <c r="L18" s="47">
        <f>base!L59</f>
        <v>6410.88</v>
      </c>
      <c r="M18" s="48">
        <f>base!M59</f>
        <v>4487.616</v>
      </c>
      <c r="N18" s="48" t="str">
        <f>base!N59</f>
        <v>-</v>
      </c>
    </row>
    <row r="19" spans="2:14" ht="50.1" customHeight="1">
      <c r="B19" s="17">
        <f>base!B60</f>
        <v>31103332</v>
      </c>
      <c r="C19" s="17" t="str">
        <f>base!C60</f>
        <v>-</v>
      </c>
      <c r="D19" s="17" t="str">
        <f>base!D60</f>
        <v>GINECOLOGIA</v>
      </c>
      <c r="E19" s="17" t="str">
        <f>base!E60</f>
        <v>Incontinência urinária - "sling" vaginal ou abdominal</v>
      </c>
      <c r="F19" s="17" t="str">
        <f>base!F60</f>
        <v>Qualquer Tipo</v>
      </c>
      <c r="G19" s="17" t="str">
        <f>base!G60</f>
        <v>Day</v>
      </c>
      <c r="H19" s="33">
        <f>base!H60</f>
        <v>4.1666666666666664E-2</v>
      </c>
      <c r="I19" s="17" t="str">
        <f>base!I60</f>
        <v>-</v>
      </c>
      <c r="J19" s="17" t="str">
        <f>base!J60</f>
        <v>-</v>
      </c>
      <c r="K19" s="17" t="str">
        <f>base!K60</f>
        <v>Exclui tela e Sling</v>
      </c>
      <c r="L19" s="47">
        <f>base!L60</f>
        <v>4808.1600000000008</v>
      </c>
      <c r="M19" s="48">
        <f>base!M60</f>
        <v>3365.7120000000004</v>
      </c>
      <c r="N19" s="48" t="str">
        <f>base!N60</f>
        <v>-</v>
      </c>
    </row>
    <row r="20" spans="2:14" ht="50.1" customHeight="1">
      <c r="B20" s="17">
        <f>base!B61</f>
        <v>31303269</v>
      </c>
      <c r="C20" s="17" t="str">
        <f>base!C61</f>
        <v>-</v>
      </c>
      <c r="D20" s="17" t="str">
        <f>base!D61</f>
        <v>GINECOLOGIA</v>
      </c>
      <c r="E20" s="17" t="str">
        <f>base!E61</f>
        <v>Inserção de DIU</v>
      </c>
      <c r="F20" s="17" t="str">
        <f>base!F61</f>
        <v>Sedação</v>
      </c>
      <c r="G20" s="17" t="str">
        <f>base!G61</f>
        <v>AMBULATORIAL
(setor sem diária)</v>
      </c>
      <c r="H20" s="33">
        <f>base!H61</f>
        <v>4.1666666666666664E-2</v>
      </c>
      <c r="I20" s="17" t="str">
        <f>base!I61</f>
        <v>Com DIU Merina</v>
      </c>
      <c r="J20" s="17" t="str">
        <f>base!J61</f>
        <v>Estoque</v>
      </c>
      <c r="K20" s="17" t="str">
        <f>base!K61</f>
        <v>-</v>
      </c>
      <c r="L20" s="47">
        <f>base!L61</f>
        <v>2289.6000000000004</v>
      </c>
      <c r="M20" s="48">
        <f>base!M61</f>
        <v>1831.6800000000003</v>
      </c>
      <c r="N20" s="48" t="str">
        <f>base!N61</f>
        <v>-</v>
      </c>
    </row>
    <row r="21" spans="2:14" ht="50.1" customHeight="1">
      <c r="B21" s="17" t="str">
        <f>base!B62</f>
        <v>31303250 ou 31304087 ou 31305032</v>
      </c>
      <c r="C21" s="17" t="str">
        <f>base!C62</f>
        <v>-</v>
      </c>
      <c r="D21" s="17" t="str">
        <f>base!D62</f>
        <v>GINECOLOGIA</v>
      </c>
      <c r="E21" s="17" t="str">
        <f>base!E62</f>
        <v>Laparoscopia Cirurgica para Miomectomia, Salpingectomia e Ooforectomia</v>
      </c>
      <c r="F21" s="17" t="str">
        <f>base!F62</f>
        <v>Qualquer Tipo</v>
      </c>
      <c r="G21" s="17">
        <f>base!G62</f>
        <v>1</v>
      </c>
      <c r="H21" s="33">
        <f>base!H62</f>
        <v>0.125</v>
      </c>
      <c r="I21" s="17" t="str">
        <f>base!I62</f>
        <v>01 trocater, 01 agulha de Verres, 01 tesoura Coagulação</v>
      </c>
      <c r="J21" s="17" t="str">
        <f>base!J62</f>
        <v>Johnson OU Medtronik</v>
      </c>
      <c r="K21" s="17" t="str">
        <f>base!K62</f>
        <v>Exclui Anatomo, Morcelador e endopouch</v>
      </c>
      <c r="L21" s="47">
        <f>base!L62</f>
        <v>13737.6</v>
      </c>
      <c r="M21" s="48">
        <f>base!M62</f>
        <v>10990.080000000002</v>
      </c>
      <c r="N21" s="48">
        <f>base!N62</f>
        <v>700</v>
      </c>
    </row>
    <row r="22" spans="2:14" ht="50.1" customHeight="1">
      <c r="B22" s="17">
        <f>base!B63</f>
        <v>94010070</v>
      </c>
      <c r="C22" s="17">
        <f>base!C63</f>
        <v>94010070</v>
      </c>
      <c r="D22" s="17" t="str">
        <f>base!D63</f>
        <v>GINECOLOGIA</v>
      </c>
      <c r="E22" s="17" t="str">
        <f>base!E63</f>
        <v>Laparoscopia Ginecologica Diagnóstica (sem tesoura descartável )</v>
      </c>
      <c r="F22" s="17" t="str">
        <f>base!F63</f>
        <v>Qualquer Tipo</v>
      </c>
      <c r="G22" s="17">
        <f>base!G63</f>
        <v>1</v>
      </c>
      <c r="H22" s="33">
        <f>base!H63</f>
        <v>8.3333333333333329E-2</v>
      </c>
      <c r="I22" s="17" t="str">
        <f>base!I63</f>
        <v>01 trocater</v>
      </c>
      <c r="J22" s="17" t="str">
        <f>base!J63</f>
        <v>Johnson OU Medtronik</v>
      </c>
      <c r="K22" s="17" t="str">
        <f>base!K63</f>
        <v xml:space="preserve">Exclui OPME, Anatomo e  biópsia </v>
      </c>
      <c r="L22" s="47">
        <f>base!L63</f>
        <v>4922.6400000000003</v>
      </c>
      <c r="M22" s="48">
        <f>base!M63</f>
        <v>3938.1120000000005</v>
      </c>
      <c r="N22" s="48">
        <f>base!N63</f>
        <v>700</v>
      </c>
    </row>
    <row r="23" spans="2:14" ht="50.1" customHeight="1">
      <c r="B23" s="17">
        <f>base!B64</f>
        <v>31304010</v>
      </c>
      <c r="C23" s="17" t="str">
        <f>base!C64</f>
        <v>-</v>
      </c>
      <c r="D23" s="17" t="str">
        <f>base!D64</f>
        <v>GINECOLOGIA</v>
      </c>
      <c r="E23" s="17" t="str">
        <f>base!E64</f>
        <v>Laqueadura tubária</v>
      </c>
      <c r="F23" s="17" t="str">
        <f>base!F64</f>
        <v>Raqui / Sedação</v>
      </c>
      <c r="G23" s="17" t="str">
        <f>base!G64</f>
        <v>Day</v>
      </c>
      <c r="H23" s="33">
        <f>base!H64</f>
        <v>8.3333333333333329E-2</v>
      </c>
      <c r="I23" s="17" t="str">
        <f>base!I64</f>
        <v>-</v>
      </c>
      <c r="J23" s="17" t="str">
        <f>base!J64</f>
        <v>-</v>
      </c>
      <c r="K23" s="17" t="str">
        <f>base!K64</f>
        <v>Exclui anatomo</v>
      </c>
      <c r="L23" s="47">
        <f>base!L64</f>
        <v>4808.1600000000008</v>
      </c>
      <c r="M23" s="48">
        <f>base!M64</f>
        <v>3365.7120000000004</v>
      </c>
      <c r="N23" s="48">
        <f>base!N64</f>
        <v>550</v>
      </c>
    </row>
    <row r="24" spans="2:14" ht="50.1" customHeight="1">
      <c r="B24" s="17">
        <f>base!B65</f>
        <v>31304052</v>
      </c>
      <c r="C24" s="17" t="str">
        <f>base!C65</f>
        <v>-</v>
      </c>
      <c r="D24" s="17" t="str">
        <f>base!D65</f>
        <v>GINECOLOGIA</v>
      </c>
      <c r="E24" s="17" t="str">
        <f>base!E65</f>
        <v>Laqueadura tubária laparoscópica</v>
      </c>
      <c r="F24" s="17" t="str">
        <f>base!F65</f>
        <v>Qualquer Tipo</v>
      </c>
      <c r="G24" s="17" t="str">
        <f>base!G65</f>
        <v>Day</v>
      </c>
      <c r="H24" s="33">
        <f>base!H65</f>
        <v>8.3333333333333329E-2</v>
      </c>
      <c r="I24" s="17" t="str">
        <f>base!I65</f>
        <v>01 trocater, 01 agulha de Verres</v>
      </c>
      <c r="J24" s="17" t="str">
        <f>base!J65</f>
        <v>Johnson OU Medtronik</v>
      </c>
      <c r="K24" s="17" t="str">
        <f>base!K65</f>
        <v>Exclui anatomo</v>
      </c>
      <c r="L24" s="47">
        <f>base!L65</f>
        <v>6868.8</v>
      </c>
      <c r="M24" s="48">
        <f>base!M65</f>
        <v>5495.0400000000009</v>
      </c>
      <c r="N24" s="48">
        <f>base!N65</f>
        <v>550</v>
      </c>
    </row>
    <row r="25" spans="2:14" ht="50.1" customHeight="1">
      <c r="B25" s="17">
        <f>base!B66</f>
        <v>31305016</v>
      </c>
      <c r="C25" s="17">
        <f>base!C66</f>
        <v>45070016</v>
      </c>
      <c r="D25" s="17" t="str">
        <f>base!D66</f>
        <v>GINECOLOGIA</v>
      </c>
      <c r="E25" s="17" t="str">
        <f>base!E66</f>
        <v>Ooforectomia ou Ooforoplastia (ovário)</v>
      </c>
      <c r="F25" s="17" t="str">
        <f>base!F66</f>
        <v>Qualquer Tipo</v>
      </c>
      <c r="G25" s="17">
        <f>base!G66</f>
        <v>1</v>
      </c>
      <c r="H25" s="33">
        <f>base!H66</f>
        <v>8.3333333333333329E-2</v>
      </c>
      <c r="I25" s="17" t="str">
        <f>base!I66</f>
        <v>-</v>
      </c>
      <c r="J25" s="17" t="str">
        <f>base!J66</f>
        <v>-</v>
      </c>
      <c r="K25" s="17" t="str">
        <f>base!K66</f>
        <v>Exclui anatomo</v>
      </c>
      <c r="L25" s="47">
        <f>base!L66</f>
        <v>6754.3200000000006</v>
      </c>
      <c r="M25" s="48">
        <f>base!M66</f>
        <v>4728.0240000000003</v>
      </c>
      <c r="N25" s="48">
        <f>base!N66</f>
        <v>550</v>
      </c>
    </row>
    <row r="26" spans="2:14" ht="50.1" customHeight="1">
      <c r="B26" s="17">
        <f>base!B67</f>
        <v>94010002</v>
      </c>
      <c r="C26" s="17">
        <f>base!C67</f>
        <v>45080194</v>
      </c>
      <c r="D26" s="17" t="str">
        <f>base!D67</f>
        <v>GINECOLOGIA</v>
      </c>
      <c r="E26" s="17" t="str">
        <f>base!E67</f>
        <v>Parto Cesárea</v>
      </c>
      <c r="F26" s="17" t="str">
        <f>base!F67</f>
        <v>Peridural/ Raqui</v>
      </c>
      <c r="G26" s="17">
        <f>base!G67</f>
        <v>3</v>
      </c>
      <c r="H26" s="33">
        <f>base!H67</f>
        <v>0</v>
      </c>
      <c r="I26" s="17" t="str">
        <f>base!I67</f>
        <v>-</v>
      </c>
      <c r="J26" s="17" t="str">
        <f>base!J67</f>
        <v>-</v>
      </c>
      <c r="K26" s="17" t="str">
        <f>base!K67</f>
        <v>Exclui OPME</v>
      </c>
      <c r="L26" s="47">
        <f>base!L67</f>
        <v>9500</v>
      </c>
      <c r="M26" s="48" t="s">
        <v>246</v>
      </c>
      <c r="N26" s="48" t="str">
        <f>base!N67</f>
        <v>700,00 (placenta)</v>
      </c>
    </row>
    <row r="27" spans="2:14" ht="50.1" customHeight="1">
      <c r="B27" s="17">
        <f>base!B68</f>
        <v>94010050</v>
      </c>
      <c r="C27" s="17">
        <f>base!C68</f>
        <v>45080100</v>
      </c>
      <c r="D27" s="17" t="str">
        <f>base!D68</f>
        <v>GINECOLOGIA</v>
      </c>
      <c r="E27" s="17" t="str">
        <f>base!E68</f>
        <v>Parto Cesárea Gemelar (30% do valor do pacote para cada gemelar)</v>
      </c>
      <c r="F27" s="17" t="str">
        <f>base!F68</f>
        <v>Peridural/ Raqui</v>
      </c>
      <c r="G27" s="17">
        <f>base!G68</f>
        <v>3</v>
      </c>
      <c r="H27" s="33">
        <f>base!H68</f>
        <v>0</v>
      </c>
      <c r="I27" s="17" t="str">
        <f>base!I68</f>
        <v>-</v>
      </c>
      <c r="J27" s="17" t="str">
        <f>base!J68</f>
        <v>-</v>
      </c>
      <c r="K27" s="17" t="str">
        <f>base!K68</f>
        <v>Exclui OPME</v>
      </c>
      <c r="L27" s="47">
        <f>base!L68</f>
        <v>12350</v>
      </c>
      <c r="M27" s="48" t="s">
        <v>246</v>
      </c>
      <c r="N27" s="48" t="str">
        <f>base!N68</f>
        <v>700,00 (placenta)</v>
      </c>
    </row>
    <row r="28" spans="2:14" ht="50.1" customHeight="1">
      <c r="B28" s="17">
        <f>base!B69</f>
        <v>94010003</v>
      </c>
      <c r="C28" s="17">
        <f>base!C69</f>
        <v>45080186</v>
      </c>
      <c r="D28" s="17" t="str">
        <f>base!D69</f>
        <v>GINECOLOGIA</v>
      </c>
      <c r="E28" s="17" t="str">
        <f>base!E69</f>
        <v>Parto Normal</v>
      </c>
      <c r="F28" s="17" t="str">
        <f>base!F69</f>
        <v>Peridural</v>
      </c>
      <c r="G28" s="17">
        <f>base!G69</f>
        <v>3</v>
      </c>
      <c r="H28" s="33">
        <f>base!H69</f>
        <v>0</v>
      </c>
      <c r="I28" s="17" t="str">
        <f>base!I69</f>
        <v>-</v>
      </c>
      <c r="J28" s="17" t="str">
        <f>base!J69</f>
        <v>-</v>
      </c>
      <c r="K28" s="17" t="str">
        <f>base!K69</f>
        <v>Exclui OPME</v>
      </c>
      <c r="L28" s="47">
        <f>base!L69</f>
        <v>9000</v>
      </c>
      <c r="M28" s="48" t="s">
        <v>246</v>
      </c>
      <c r="N28" s="48" t="str">
        <f>base!N69</f>
        <v>700,00 (placenta)</v>
      </c>
    </row>
    <row r="29" spans="2:14" ht="50.1" customHeight="1">
      <c r="B29" s="17">
        <f>base!B70</f>
        <v>94010051</v>
      </c>
      <c r="C29" s="17">
        <f>base!C70</f>
        <v>94010051</v>
      </c>
      <c r="D29" s="17" t="str">
        <f>base!D70</f>
        <v>GINECOLOGIA</v>
      </c>
      <c r="E29" s="17" t="str">
        <f>base!E70</f>
        <v>Parto Normal Gemelar (30% do valor do pacote para cada gemelar)</v>
      </c>
      <c r="F29" s="17" t="str">
        <f>base!F70</f>
        <v>Peridural</v>
      </c>
      <c r="G29" s="17">
        <f>base!G70</f>
        <v>3</v>
      </c>
      <c r="H29" s="33">
        <f>base!H70</f>
        <v>0</v>
      </c>
      <c r="I29" s="17" t="str">
        <f>base!I70</f>
        <v>-</v>
      </c>
      <c r="J29" s="17" t="str">
        <f>base!J70</f>
        <v>-</v>
      </c>
      <c r="K29" s="17" t="str">
        <f>base!K70</f>
        <v>Exclui OPME</v>
      </c>
      <c r="L29" s="47">
        <f>base!L70</f>
        <v>11700</v>
      </c>
      <c r="M29" s="48" t="s">
        <v>246</v>
      </c>
      <c r="N29" s="48" t="str">
        <f>base!N70</f>
        <v>700,00 (placenta)</v>
      </c>
    </row>
  </sheetData>
  <sheetProtection algorithmName="SHA-512" hashValue="YW9w/ArMiAXJWAivT6l+UvDkr2qdOVycnsmR4UzURkTa/FSzasgj8Q/QJ/KHRX5usC9Y+PUaKNNvU9WAUNoB5g==" saltValue="SA7BmxDTGNfYfS7+rvM+4A==" spinCount="100000" sheet="1" autoFilter="0"/>
  <printOptions horizontalCentered="1"/>
  <pageMargins left="0.11811023622047245" right="0.11811023622047245" top="0.98425196850393704" bottom="0.39370078740157483" header="0.19685039370078741" footer="0.11811023622047245"/>
  <pageSetup paperSize="9" scale="85" orientation="landscape" r:id="rId1"/>
  <headerFooter>
    <oddHeader>&amp;L&amp;G&amp;C&amp;"-,Negrito"&amp;12HOSPITAL VERA CRUZ
PREÇOS PADRONIZADOS -PARTICULAR
&amp;K03+000GINECOLOGIA</oddHeader>
    <oddFooter>&amp;C&amp;9&amp;P / &amp;N</oddFooter>
  </headerFooter>
  <drawing r:id="rId2"/>
  <legacyDrawing r:id="rId3"/>
  <legacyDrawingHF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0"/>
  <dimension ref="A1:N16"/>
  <sheetViews>
    <sheetView showGridLines="0" tabSelected="1" workbookViewId="0">
      <selection activeCell="I11" sqref="I11"/>
    </sheetView>
  </sheetViews>
  <sheetFormatPr defaultRowHeight="15"/>
  <cols>
    <col min="2" max="2" width="10.42578125" customWidth="1"/>
    <col min="3" max="3" width="9" hidden="1" customWidth="1"/>
    <col min="4" max="4" width="16.140625" customWidth="1"/>
    <col min="5" max="5" width="35.42578125" customWidth="1"/>
    <col min="6" max="6" width="15" customWidth="1"/>
    <col min="7" max="7" width="6.140625" bestFit="1" customWidth="1"/>
    <col min="8" max="8" width="7.85546875" style="5" bestFit="1" customWidth="1"/>
    <col min="9" max="10" width="20.7109375" customWidth="1"/>
    <col min="11" max="11" width="15.85546875" customWidth="1"/>
    <col min="12" max="12" width="12.5703125" style="4" bestFit="1" customWidth="1"/>
    <col min="13" max="14" width="15.140625" bestFit="1" customWidth="1"/>
  </cols>
  <sheetData>
    <row r="1" spans="1:14">
      <c r="E1" s="9"/>
      <c r="K1" s="4"/>
      <c r="L1"/>
    </row>
    <row r="2" spans="1:14" ht="25.5">
      <c r="A2" s="10"/>
      <c r="B2" s="11"/>
      <c r="C2" s="10"/>
      <c r="D2" s="10"/>
      <c r="E2" s="10"/>
      <c r="F2" s="10"/>
      <c r="G2" s="10"/>
      <c r="H2" s="10"/>
      <c r="I2" s="10"/>
      <c r="L2"/>
    </row>
    <row r="3" spans="1:14">
      <c r="A3" s="10"/>
      <c r="B3" s="10"/>
      <c r="C3" s="10"/>
      <c r="D3" s="10"/>
      <c r="E3" s="10"/>
      <c r="F3" s="10"/>
      <c r="G3" s="10"/>
      <c r="H3" s="10"/>
      <c r="I3" s="10"/>
      <c r="L3"/>
    </row>
    <row r="4" spans="1:14">
      <c r="A4" s="10"/>
      <c r="B4" s="10"/>
      <c r="C4" s="10"/>
      <c r="D4" s="10"/>
      <c r="E4" s="10"/>
      <c r="F4" s="10"/>
      <c r="G4" s="10"/>
      <c r="H4" s="10"/>
      <c r="I4" s="10"/>
      <c r="L4"/>
    </row>
    <row r="5" spans="1:14">
      <c r="A5" s="10"/>
      <c r="B5" s="10"/>
      <c r="C5" s="10"/>
      <c r="D5" s="10"/>
      <c r="E5" s="10"/>
      <c r="F5" s="10"/>
      <c r="G5" s="10"/>
      <c r="H5" s="10"/>
      <c r="I5" s="10"/>
      <c r="L5"/>
    </row>
    <row r="7" spans="1:14" s="1" customFormat="1" ht="42" customHeight="1">
      <c r="B7" s="43" t="str">
        <f>base!B2</f>
        <v>Código</v>
      </c>
      <c r="C7" s="43" t="str">
        <f>base!C2</f>
        <v>Código AMB</v>
      </c>
      <c r="D7" s="43" t="str">
        <f>base!D2</f>
        <v>Especialidade</v>
      </c>
      <c r="E7" s="43" t="str">
        <f>base!E2</f>
        <v>Procedimento</v>
      </c>
      <c r="F7" s="43" t="str">
        <f>base!F2</f>
        <v>Tipo de Anestesia</v>
      </c>
      <c r="G7" s="43" t="str">
        <f>base!G2</f>
        <v>Diárias</v>
      </c>
      <c r="H7" s="43" t="str">
        <f>base!H2</f>
        <v>Tempo Sala</v>
      </c>
      <c r="I7" s="43" t="str">
        <f>base!I2</f>
        <v>Itens inclusos - OPME</v>
      </c>
      <c r="J7" s="43" t="str">
        <f>base!J2</f>
        <v>Fornecedor Homologado - itens inclusos</v>
      </c>
      <c r="K7" s="43" t="str">
        <f>base!K2</f>
        <v>Itens exclusos</v>
      </c>
      <c r="L7" s="43" t="str">
        <f>base!L2</f>
        <v>Vera Cruz Hospital</v>
      </c>
      <c r="M7" s="43" t="str">
        <f>base!M2</f>
        <v>Vera Cruz Casa Saude</v>
      </c>
      <c r="N7" s="43" t="str">
        <f>base!N2</f>
        <v>Anatomo Patologico Multipat</v>
      </c>
    </row>
    <row r="8" spans="1:14" ht="50.1" customHeight="1">
      <c r="B8" s="17">
        <f>base!B71</f>
        <v>30724058</v>
      </c>
      <c r="C8" s="17" t="e">
        <f>base!#REF!</f>
        <v>#REF!</v>
      </c>
      <c r="D8" s="17" t="str">
        <f>base!D71</f>
        <v>ORTOPEDIA</v>
      </c>
      <c r="E8" s="17" t="str">
        <f>base!E71</f>
        <v>Artroplastia (qualquer técnica ou versão de quadril) - tratamento cirúrgico</v>
      </c>
      <c r="F8" s="17" t="str">
        <f>base!F71</f>
        <v>Qualquer Tipo</v>
      </c>
      <c r="G8" s="17">
        <f>base!G71</f>
        <v>3</v>
      </c>
      <c r="H8" s="33">
        <f>base!H71</f>
        <v>0.16666666666666666</v>
      </c>
      <c r="I8" s="17" t="str">
        <f>base!I71</f>
        <v>-</v>
      </c>
      <c r="J8" s="17" t="str">
        <f>base!J71</f>
        <v>-</v>
      </c>
      <c r="K8" s="17" t="str">
        <f>base!K71</f>
        <v>Exclui OPME, UTI, hemoderivado</v>
      </c>
      <c r="L8" s="47">
        <f>base!L71</f>
        <v>20034</v>
      </c>
      <c r="M8" s="34">
        <f>base!M71</f>
        <v>14023.8</v>
      </c>
      <c r="N8" s="34" t="str">
        <f>base!N71</f>
        <v>-</v>
      </c>
    </row>
    <row r="9" spans="1:14" ht="50.1" customHeight="1">
      <c r="B9" s="17">
        <f>base!B72</f>
        <v>30726034</v>
      </c>
      <c r="C9" s="17" t="e">
        <f>base!#REF!</f>
        <v>#REF!</v>
      </c>
      <c r="D9" s="17" t="str">
        <f>base!D72</f>
        <v>ORTOPEDIA</v>
      </c>
      <c r="E9" s="17" t="str">
        <f>base!E72</f>
        <v xml:space="preserve">Artroplastia do Joelho </v>
      </c>
      <c r="F9" s="17" t="str">
        <f>base!F72</f>
        <v>Qualquer Tipo</v>
      </c>
      <c r="G9" s="17">
        <f>base!G72</f>
        <v>3</v>
      </c>
      <c r="H9" s="33">
        <f>base!H72</f>
        <v>0.125</v>
      </c>
      <c r="I9" s="17" t="str">
        <f>base!I72</f>
        <v>-</v>
      </c>
      <c r="J9" s="17" t="str">
        <f>base!J72</f>
        <v>-</v>
      </c>
      <c r="K9" s="17" t="str">
        <f>base!K72</f>
        <v>-</v>
      </c>
      <c r="L9" s="47">
        <f>base!L72</f>
        <v>17280</v>
      </c>
      <c r="M9" s="34">
        <f>base!M72</f>
        <v>12096</v>
      </c>
      <c r="N9" s="34">
        <f>base!N72</f>
        <v>390</v>
      </c>
    </row>
    <row r="10" spans="1:14" ht="50.1" customHeight="1">
      <c r="B10" s="17">
        <f>base!B73</f>
        <v>30726034</v>
      </c>
      <c r="C10" s="17">
        <f>base!C42</f>
        <v>94040004</v>
      </c>
      <c r="D10" s="17" t="str">
        <f>base!D73</f>
        <v>ORTOPEDIA</v>
      </c>
      <c r="E10" s="17" t="str">
        <f>base!E73</f>
        <v xml:space="preserve">Artroplastia do Joelho </v>
      </c>
      <c r="F10" s="17" t="str">
        <f>base!F73</f>
        <v>Qualquer Tipo</v>
      </c>
      <c r="G10" s="17">
        <f>base!G73</f>
        <v>2</v>
      </c>
      <c r="H10" s="33">
        <f>base!H73</f>
        <v>0.125</v>
      </c>
      <c r="I10" s="17" t="str">
        <f>base!I73</f>
        <v>-</v>
      </c>
      <c r="J10" s="17" t="str">
        <f>base!J73</f>
        <v>-</v>
      </c>
      <c r="K10" s="17" t="str">
        <f>base!K73</f>
        <v>-</v>
      </c>
      <c r="L10" s="47">
        <f>base!L73</f>
        <v>14580.000000000002</v>
      </c>
      <c r="M10" s="34">
        <f>base!M73</f>
        <v>10206</v>
      </c>
      <c r="N10" s="34">
        <f>base!N73</f>
        <v>390</v>
      </c>
    </row>
    <row r="11" spans="1:14" ht="50.1" customHeight="1">
      <c r="B11" s="17">
        <f>base!B74</f>
        <v>30735076</v>
      </c>
      <c r="C11" s="17">
        <f>base!C43</f>
        <v>94010000</v>
      </c>
      <c r="D11" s="17" t="str">
        <f>base!D74</f>
        <v>ORTOPEDIA</v>
      </c>
      <c r="E11" s="17" t="str">
        <f>base!E74</f>
        <v>Instabilidade multidirecional (ombro)</v>
      </c>
      <c r="F11" s="17" t="str">
        <f>base!F74</f>
        <v>Qualquer Tipo</v>
      </c>
      <c r="G11" s="17">
        <f>base!G74</f>
        <v>1</v>
      </c>
      <c r="H11" s="33">
        <f>base!H74</f>
        <v>8.3333333333333329E-2</v>
      </c>
      <c r="I11" s="17" t="str">
        <f>base!I74</f>
        <v>-</v>
      </c>
      <c r="J11" s="17" t="str">
        <f>base!J74</f>
        <v>-</v>
      </c>
      <c r="K11" s="17" t="str">
        <f>base!K74</f>
        <v>Exclui OPME</v>
      </c>
      <c r="L11" s="47">
        <f>base!L74</f>
        <v>8586</v>
      </c>
      <c r="M11" s="34">
        <f>base!M74</f>
        <v>6010.2</v>
      </c>
      <c r="N11" s="34" t="str">
        <f>base!N74</f>
        <v>-</v>
      </c>
    </row>
    <row r="12" spans="1:14" ht="50.1" customHeight="1">
      <c r="B12" s="17">
        <f>base!B75</f>
        <v>30735050</v>
      </c>
      <c r="C12" s="17">
        <f>base!C44</f>
        <v>94040002</v>
      </c>
      <c r="D12" s="17" t="str">
        <f>base!D75</f>
        <v>ORTOPEDIA</v>
      </c>
      <c r="E12" s="17" t="str">
        <f>base!E75</f>
        <v>Luxação gleno-umeral (Ombro)</v>
      </c>
      <c r="F12" s="17" t="str">
        <f>base!F75</f>
        <v>Qualquer Tipo</v>
      </c>
      <c r="G12" s="17">
        <f>base!G75</f>
        <v>1</v>
      </c>
      <c r="H12" s="33">
        <f>base!H75</f>
        <v>8.3333333333333329E-2</v>
      </c>
      <c r="I12" s="17" t="str">
        <f>base!I75</f>
        <v>-</v>
      </c>
      <c r="J12" s="17" t="str">
        <f>base!J75</f>
        <v>-</v>
      </c>
      <c r="K12" s="17" t="str">
        <f>base!K75</f>
        <v>Exclui OPME</v>
      </c>
      <c r="L12" s="47">
        <f>base!L75</f>
        <v>8586</v>
      </c>
      <c r="M12" s="34">
        <f>base!M75</f>
        <v>6010.2</v>
      </c>
      <c r="N12" s="34" t="str">
        <f>base!N75</f>
        <v>-</v>
      </c>
    </row>
    <row r="13" spans="1:14" ht="50.1" customHeight="1">
      <c r="B13" s="17" t="str">
        <f>base!B76</f>
        <v>30733057 /+30733073</v>
      </c>
      <c r="C13" s="17">
        <f>base!C45</f>
        <v>94040003</v>
      </c>
      <c r="D13" s="17" t="str">
        <f>base!D76</f>
        <v>ORTOPEDIA</v>
      </c>
      <c r="E13" s="17" t="str">
        <f>base!E76</f>
        <v>Meniscectomia  +  Reconstrução, retencionamento ou reforço do ligamento cruzado anterior ou posterior</v>
      </c>
      <c r="F13" s="17" t="str">
        <f>base!F76</f>
        <v>Qualquer Tipo</v>
      </c>
      <c r="G13" s="17">
        <f>base!G76</f>
        <v>1</v>
      </c>
      <c r="H13" s="33">
        <f>base!H76</f>
        <v>0.125</v>
      </c>
      <c r="I13" s="17" t="str">
        <f>base!I76</f>
        <v>01 equipo de bomba, 01 lamina de Shaver</v>
      </c>
      <c r="J13" s="17" t="str">
        <f>base!J76</f>
        <v>Johnson OU Prime OU Smith Nephew OU Imact</v>
      </c>
      <c r="K13" s="17" t="str">
        <f>base!K76</f>
        <v>Exclui demais OPMEs</v>
      </c>
      <c r="L13" s="47">
        <f>base!L76</f>
        <v>10875.6</v>
      </c>
      <c r="M13" s="34">
        <f>base!M76</f>
        <v>8700.4800000000014</v>
      </c>
      <c r="N13" s="34">
        <f>base!N76</f>
        <v>390</v>
      </c>
    </row>
    <row r="14" spans="1:14" ht="50.1" customHeight="1">
      <c r="B14" s="17">
        <f>base!B77</f>
        <v>30733057</v>
      </c>
      <c r="C14" s="17">
        <f>base!C46</f>
        <v>94010081</v>
      </c>
      <c r="D14" s="17" t="str">
        <f>base!D77</f>
        <v>ORTOPEDIA</v>
      </c>
      <c r="E14" s="17" t="str">
        <f>base!E77</f>
        <v>Meniscectomia - um menisco</v>
      </c>
      <c r="F14" s="17" t="str">
        <f>base!F77</f>
        <v>Qualquer Tipo</v>
      </c>
      <c r="G14" s="17">
        <f>base!G77</f>
        <v>1</v>
      </c>
      <c r="H14" s="33">
        <f>base!H77</f>
        <v>8.3333333333333329E-2</v>
      </c>
      <c r="I14" s="17" t="str">
        <f>base!I77</f>
        <v>01 equipo de bomba, 01 lamina de Shaver</v>
      </c>
      <c r="J14" s="17" t="str">
        <f>base!J77</f>
        <v>Johnson OU Prime OU Smith Nephew OU Imact</v>
      </c>
      <c r="K14" s="17" t="str">
        <f>base!K77</f>
        <v>-</v>
      </c>
      <c r="L14" s="47">
        <f>base!L77</f>
        <v>9158.4000000000015</v>
      </c>
      <c r="M14" s="34">
        <f>base!M77</f>
        <v>7326.7200000000012</v>
      </c>
      <c r="N14" s="34">
        <f>base!N77</f>
        <v>390</v>
      </c>
    </row>
    <row r="15" spans="1:14" ht="50.1" customHeight="1">
      <c r="B15" s="17">
        <f>base!B78</f>
        <v>30733073</v>
      </c>
      <c r="C15" s="17">
        <f>base!C47</f>
        <v>94010082</v>
      </c>
      <c r="D15" s="17" t="str">
        <f>base!D78</f>
        <v>ORTOPEDIA</v>
      </c>
      <c r="E15" s="17" t="str">
        <f>base!E78</f>
        <v>Reconstrução, retencionamento ou reforço do ligamento cruzado anterior ou posterior</v>
      </c>
      <c r="F15" s="17" t="str">
        <f>base!F78</f>
        <v>Qualquer Tipo</v>
      </c>
      <c r="G15" s="17">
        <f>base!G78</f>
        <v>1</v>
      </c>
      <c r="H15" s="33">
        <f>base!H78</f>
        <v>8.3333333333333329E-2</v>
      </c>
      <c r="I15" s="17" t="str">
        <f>base!I78</f>
        <v>-</v>
      </c>
      <c r="J15" s="17" t="str">
        <f>base!J78</f>
        <v>-</v>
      </c>
      <c r="K15" s="17" t="str">
        <f>base!K78</f>
        <v>Exclui OPME</v>
      </c>
      <c r="L15" s="47">
        <f>base!L78</f>
        <v>8586</v>
      </c>
      <c r="M15" s="34">
        <f>base!M78</f>
        <v>6010.2</v>
      </c>
      <c r="N15" s="34" t="str">
        <f>base!N78</f>
        <v>-</v>
      </c>
    </row>
    <row r="16" spans="1:14" ht="50.1" customHeight="1">
      <c r="B16" s="17">
        <f>base!B79</f>
        <v>30735068</v>
      </c>
      <c r="C16" s="17">
        <f>base!C48</f>
        <v>94010082</v>
      </c>
      <c r="D16" s="17" t="str">
        <f>base!D79</f>
        <v>ORTOPEDIA</v>
      </c>
      <c r="E16" s="17" t="str">
        <f>base!E79</f>
        <v>Ruptura do manguito rotador (ombro)</v>
      </c>
      <c r="F16" s="17" t="str">
        <f>base!F79</f>
        <v>Qualquer Tipo</v>
      </c>
      <c r="G16" s="17">
        <f>base!G79</f>
        <v>1</v>
      </c>
      <c r="H16" s="33">
        <f>base!H79</f>
        <v>8.3333333333333329E-2</v>
      </c>
      <c r="I16" s="17" t="str">
        <f>base!I79</f>
        <v>-</v>
      </c>
      <c r="J16" s="17" t="str">
        <f>base!J79</f>
        <v>-</v>
      </c>
      <c r="K16" s="17" t="str">
        <f>base!K79</f>
        <v>Exclui OPME</v>
      </c>
      <c r="L16" s="47">
        <f>base!L79</f>
        <v>8586</v>
      </c>
      <c r="M16" s="34">
        <f>base!M79</f>
        <v>6010.2</v>
      </c>
      <c r="N16" s="34" t="str">
        <f>base!N79</f>
        <v>-</v>
      </c>
    </row>
  </sheetData>
  <sheetProtection algorithmName="SHA-512" hashValue="FuRzEOmDd4wzAyeZywI6DSJOcNj1lFUQh9r02NCDEEjvt9QWW52d/RwSh1Udm4xdCaw/e/7Xr7biJs+9E81b/g==" saltValue="x16oOqTtU7WVBy03aDTEAg==" spinCount="100000" sheet="1" objects="1" scenarios="1"/>
  <printOptions horizontalCentered="1"/>
  <pageMargins left="0.11811023622047245" right="0.11811023622047245" top="0.98425196850393704" bottom="0.39370078740157483" header="0.19685039370078741" footer="0.11811023622047245"/>
  <pageSetup paperSize="9" scale="85" orientation="landscape" verticalDpi="0" r:id="rId1"/>
  <headerFooter>
    <oddHeader>&amp;L&amp;G&amp;C&amp;"-,Negrito"&amp;12HOSPITAL VERA CRUZ
PREÇOS PADRONIZADOS -PARTICULAR
&amp;K03+000ORTOPEDIA</oddHeader>
    <oddFooter>&amp;C&amp;8&amp;P /&amp;N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1"/>
  <dimension ref="A1:M23"/>
  <sheetViews>
    <sheetView showGridLines="0" zoomScale="90" zoomScaleNormal="90" workbookViewId="0">
      <selection activeCell="T10" sqref="T10"/>
    </sheetView>
  </sheetViews>
  <sheetFormatPr defaultRowHeight="15"/>
  <cols>
    <col min="2" max="2" width="14.42578125" customWidth="1"/>
    <col min="3" max="3" width="10.140625" hidden="1" customWidth="1"/>
    <col min="4" max="4" width="11.42578125" customWidth="1"/>
    <col min="5" max="5" width="35.28515625" customWidth="1"/>
    <col min="6" max="6" width="11.85546875" customWidth="1"/>
    <col min="7" max="7" width="6.140625" bestFit="1" customWidth="1"/>
    <col min="8" max="8" width="7.85546875" style="5" bestFit="1" customWidth="1"/>
    <col min="9" max="10" width="20.7109375" customWidth="1"/>
    <col min="11" max="11" width="17.85546875" style="4" customWidth="1"/>
    <col min="12" max="13" width="18.140625" style="49" customWidth="1"/>
  </cols>
  <sheetData>
    <row r="1" spans="1:13">
      <c r="E1" s="9"/>
    </row>
    <row r="2" spans="1:13" ht="25.5">
      <c r="A2" s="10"/>
      <c r="B2" s="11"/>
      <c r="C2" s="10"/>
      <c r="D2" s="10"/>
      <c r="E2" s="10"/>
      <c r="F2" s="10"/>
      <c r="G2" s="10"/>
      <c r="H2" s="10"/>
      <c r="I2" s="10"/>
      <c r="K2"/>
    </row>
    <row r="3" spans="1:13">
      <c r="A3" s="10"/>
      <c r="B3" s="10"/>
      <c r="C3" s="10"/>
      <c r="D3" s="10"/>
      <c r="E3" s="10"/>
      <c r="F3" s="10"/>
      <c r="G3" s="10"/>
      <c r="H3" s="10"/>
      <c r="I3" s="10"/>
      <c r="K3"/>
    </row>
    <row r="4" spans="1:13">
      <c r="A4" s="10"/>
      <c r="B4" s="10"/>
      <c r="C4" s="10"/>
      <c r="D4" s="10"/>
      <c r="E4" s="10"/>
      <c r="F4" s="10"/>
      <c r="G4" s="10"/>
      <c r="H4" s="10"/>
      <c r="I4" s="10"/>
      <c r="K4"/>
    </row>
    <row r="5" spans="1:13">
      <c r="A5" s="10"/>
      <c r="B5" s="10"/>
      <c r="C5" s="10"/>
      <c r="D5" s="10"/>
      <c r="E5" s="10"/>
      <c r="F5" s="10"/>
      <c r="G5" s="10"/>
      <c r="H5" s="10"/>
      <c r="I5" s="10"/>
      <c r="K5"/>
    </row>
    <row r="8" spans="1:13" s="1" customFormat="1" ht="42" customHeight="1">
      <c r="B8" s="43" t="str">
        <f>base!B2</f>
        <v>Código</v>
      </c>
      <c r="C8" s="43" t="str">
        <f>base!C2</f>
        <v>Código AMB</v>
      </c>
      <c r="D8" s="43" t="str">
        <f>base!D2</f>
        <v>Especialidade</v>
      </c>
      <c r="E8" s="43" t="str">
        <f>base!E2</f>
        <v>Procedimento</v>
      </c>
      <c r="F8" s="43" t="str">
        <f>base!F2</f>
        <v>Tipo de Anestesia</v>
      </c>
      <c r="G8" s="43" t="str">
        <f>base!G2</f>
        <v>Diárias</v>
      </c>
      <c r="H8" s="43" t="str">
        <f>base!H2</f>
        <v>Tempo Sala</v>
      </c>
      <c r="I8" s="43" t="str">
        <f>base!I2</f>
        <v>Itens inclusos - OPME</v>
      </c>
      <c r="J8" s="43" t="str">
        <f>base!K2</f>
        <v>Itens exclusos</v>
      </c>
      <c r="K8" s="43" t="str">
        <f>base!L2</f>
        <v>Vera Cruz Hospital</v>
      </c>
      <c r="L8" s="50" t="str">
        <f>base!M2</f>
        <v>Vera Cruz Casa Saude</v>
      </c>
      <c r="M8" s="50" t="str">
        <f>base!N2</f>
        <v>Anatomo Patologico Multipat</v>
      </c>
    </row>
    <row r="9" spans="1:13" ht="35.1" customHeight="1">
      <c r="B9" s="17">
        <f>base!B80</f>
        <v>30205034</v>
      </c>
      <c r="C9" s="17">
        <f>base!C49</f>
        <v>94010082</v>
      </c>
      <c r="D9" s="17" t="str">
        <f>base!D80</f>
        <v>OTORRINO</v>
      </c>
      <c r="E9" s="17" t="str">
        <f>base!E80</f>
        <v>Amigdalectomia + Adenoidectomia</v>
      </c>
      <c r="F9" s="17" t="str">
        <f>base!F80</f>
        <v>Geral ou Sedação</v>
      </c>
      <c r="G9" s="17" t="str">
        <f>base!G80</f>
        <v>Day</v>
      </c>
      <c r="H9" s="33">
        <f>base!H80</f>
        <v>4.1666666666666664E-2</v>
      </c>
      <c r="I9" s="17" t="str">
        <f>base!I80</f>
        <v>-</v>
      </c>
      <c r="J9" s="17" t="str">
        <f>base!K80</f>
        <v>Exclui  hemostático, OPME</v>
      </c>
      <c r="K9" s="47">
        <f>base!L80</f>
        <v>4235.76</v>
      </c>
      <c r="L9" s="48">
        <f>base!M80</f>
        <v>2965.0320000000002</v>
      </c>
      <c r="M9" s="48">
        <f>base!N80</f>
        <v>550</v>
      </c>
    </row>
    <row r="10" spans="1:13" ht="35.1" customHeight="1">
      <c r="B10" s="17">
        <f>base!B81</f>
        <v>30205050</v>
      </c>
      <c r="C10" s="17">
        <f>base!C50</f>
        <v>45080011</v>
      </c>
      <c r="D10" s="17" t="str">
        <f>base!D81</f>
        <v>OTORRINO</v>
      </c>
      <c r="E10" s="17" t="str">
        <f>base!E81</f>
        <v>Amigdalectomia das palatinas</v>
      </c>
      <c r="F10" s="17" t="str">
        <f>base!F81</f>
        <v>Geral ou Sedação</v>
      </c>
      <c r="G10" s="17" t="str">
        <f>base!G81</f>
        <v>Day</v>
      </c>
      <c r="H10" s="33">
        <f>base!H81</f>
        <v>4.1666666666666664E-2</v>
      </c>
      <c r="I10" s="17" t="str">
        <f>base!I81</f>
        <v>-</v>
      </c>
      <c r="J10" s="17" t="str">
        <f>base!K81</f>
        <v>Exclui  hemostático, OPME</v>
      </c>
      <c r="K10" s="47">
        <f>base!L81</f>
        <v>4235.76</v>
      </c>
      <c r="L10" s="48">
        <f>base!M81</f>
        <v>2965.0320000000002</v>
      </c>
      <c r="M10" s="48">
        <f>base!N81</f>
        <v>550</v>
      </c>
    </row>
    <row r="11" spans="1:13" ht="35.1" customHeight="1">
      <c r="B11" s="17">
        <f>base!B82</f>
        <v>30203015</v>
      </c>
      <c r="C11" s="17">
        <f>base!C51</f>
        <v>45080011</v>
      </c>
      <c r="D11" s="17" t="str">
        <f>base!D82</f>
        <v>OTORRINO</v>
      </c>
      <c r="E11" s="17" t="str">
        <f>base!E82</f>
        <v>Frenotomia lingual</v>
      </c>
      <c r="F11" s="17" t="str">
        <f>base!F82</f>
        <v>Geral ou Sedação</v>
      </c>
      <c r="G11" s="17" t="str">
        <f>base!G82</f>
        <v>Day</v>
      </c>
      <c r="H11" s="33">
        <f>base!H82</f>
        <v>4.1666666666666664E-2</v>
      </c>
      <c r="I11" s="17" t="str">
        <f>base!I82</f>
        <v>-</v>
      </c>
      <c r="J11" s="17" t="str">
        <f>base!K82</f>
        <v>Exclui  hemostático, OPME</v>
      </c>
      <c r="K11" s="47">
        <f>base!L82</f>
        <v>3090.96</v>
      </c>
      <c r="L11" s="48">
        <f>base!M82</f>
        <v>2163.672</v>
      </c>
      <c r="M11" s="48" t="str">
        <f>base!N82</f>
        <v>-</v>
      </c>
    </row>
    <row r="12" spans="1:13" ht="45" customHeight="1">
      <c r="B12" s="17">
        <f>base!B83</f>
        <v>30206251</v>
      </c>
      <c r="C12" s="17">
        <f>base!C52</f>
        <v>45050031</v>
      </c>
      <c r="D12" s="17" t="str">
        <f>base!D83</f>
        <v>OTORRINO</v>
      </c>
      <c r="E12" s="17" t="str">
        <f>base!E83</f>
        <v>Microcirurgia para ressecção de papiloma (Microcirurgia de Laringe)</v>
      </c>
      <c r="F12" s="17" t="str">
        <f>base!F83</f>
        <v>Geral ou Sedação</v>
      </c>
      <c r="G12" s="17">
        <f>base!G83</f>
        <v>1</v>
      </c>
      <c r="H12" s="33">
        <f>base!H83</f>
        <v>4.1666666666666664E-2</v>
      </c>
      <c r="I12" s="17" t="str">
        <f>base!I83</f>
        <v>-</v>
      </c>
      <c r="J12" s="17" t="str">
        <f>base!K83</f>
        <v>Exclu laser e afins, OPME, hemostático e anatomo</v>
      </c>
      <c r="K12" s="47">
        <f>base!L83</f>
        <v>6037.2000000000007</v>
      </c>
      <c r="L12" s="48">
        <f>base!M83</f>
        <v>4226.04</v>
      </c>
      <c r="M12" s="48">
        <f>base!N83</f>
        <v>390</v>
      </c>
    </row>
    <row r="13" spans="1:13" ht="35.1" customHeight="1">
      <c r="B13" s="17">
        <f>base!B84</f>
        <v>30501369</v>
      </c>
      <c r="C13" s="17">
        <f>base!C53</f>
        <v>47010177</v>
      </c>
      <c r="D13" s="17" t="str">
        <f>base!D84</f>
        <v>OTORRINO</v>
      </c>
      <c r="E13" s="17" t="str">
        <f>base!E84</f>
        <v>Septoplastia</v>
      </c>
      <c r="F13" s="17" t="str">
        <f>base!F84</f>
        <v>Geral ou Sedação</v>
      </c>
      <c r="G13" s="17" t="str">
        <f>base!G84</f>
        <v>Day</v>
      </c>
      <c r="H13" s="33">
        <f>base!H84</f>
        <v>4.1666666666666664E-2</v>
      </c>
      <c r="I13" s="17" t="str">
        <f>base!I84</f>
        <v>-</v>
      </c>
      <c r="J13" s="17" t="str">
        <f>base!K84</f>
        <v>Exclui  hemostático, OPME</v>
      </c>
      <c r="K13" s="47">
        <f>base!L84</f>
        <v>4693.68</v>
      </c>
      <c r="L13" s="48">
        <f>base!M84</f>
        <v>3285.576</v>
      </c>
      <c r="M13" s="48">
        <f>base!N84</f>
        <v>390</v>
      </c>
    </row>
    <row r="14" spans="1:13" ht="35.1" customHeight="1">
      <c r="B14" s="17" t="str">
        <f>base!B85</f>
        <v>30501369 +  30205050</v>
      </c>
      <c r="C14" s="17">
        <f>base!C54</f>
        <v>53040120</v>
      </c>
      <c r="D14" s="17" t="str">
        <f>base!D85</f>
        <v>OTORRINO</v>
      </c>
      <c r="E14" s="17" t="str">
        <f>base!E85</f>
        <v>Septoplastia + Amigdalectomia</v>
      </c>
      <c r="F14" s="17" t="str">
        <f>base!F85</f>
        <v>Geral ou Sedação</v>
      </c>
      <c r="G14" s="17" t="str">
        <f>base!G85</f>
        <v>Day</v>
      </c>
      <c r="H14" s="33">
        <f>base!H85</f>
        <v>8.3333333333333329E-2</v>
      </c>
      <c r="I14" s="17" t="str">
        <f>base!I85</f>
        <v>-</v>
      </c>
      <c r="J14" s="17" t="str">
        <f>base!K85</f>
        <v>Exclui  hemostático, OPME</v>
      </c>
      <c r="K14" s="47">
        <f>base!L85</f>
        <v>5838.4800000000005</v>
      </c>
      <c r="L14" s="48">
        <f>base!M85</f>
        <v>4086.9360000000001</v>
      </c>
      <c r="M14" s="48">
        <f>base!N85</f>
        <v>550</v>
      </c>
    </row>
    <row r="15" spans="1:13" ht="35.1" customHeight="1">
      <c r="B15" s="17" t="str">
        <f>base!B86</f>
        <v>30501369 + 30502322</v>
      </c>
      <c r="C15" s="17" t="str">
        <f>base!C55</f>
        <v>-</v>
      </c>
      <c r="D15" s="17" t="str">
        <f>base!D86</f>
        <v>OTORRINO</v>
      </c>
      <c r="E15" s="17" t="str">
        <f>base!E86</f>
        <v>Septoplastia + Sinusectomia</v>
      </c>
      <c r="F15" s="17" t="str">
        <f>base!F86</f>
        <v>Geral ou Sedação</v>
      </c>
      <c r="G15" s="17" t="str">
        <f>base!G86</f>
        <v>Day</v>
      </c>
      <c r="H15" s="33">
        <f>base!H86</f>
        <v>8.3333333333333329E-2</v>
      </c>
      <c r="I15" s="17" t="str">
        <f>base!I86</f>
        <v>-</v>
      </c>
      <c r="J15" s="17" t="str">
        <f>base!K86</f>
        <v>Exclui  hemostático, OPME</v>
      </c>
      <c r="K15" s="47">
        <f>base!L86</f>
        <v>5838.4800000000005</v>
      </c>
      <c r="L15" s="48">
        <f>base!M86</f>
        <v>4086.9360000000001</v>
      </c>
      <c r="M15" s="48">
        <f>base!N86</f>
        <v>550</v>
      </c>
    </row>
    <row r="16" spans="1:13" ht="35.1" customHeight="1">
      <c r="B16" s="17" t="str">
        <f>base!B87</f>
        <v>30501369 +  30501458</v>
      </c>
      <c r="C16" s="17">
        <f>base!C56</f>
        <v>45020060</v>
      </c>
      <c r="D16" s="17" t="str">
        <f>base!D87</f>
        <v>OTORRINO</v>
      </c>
      <c r="E16" s="17" t="str">
        <f>base!E87</f>
        <v>Septoplastia + Tubinectomia</v>
      </c>
      <c r="F16" s="17" t="str">
        <f>base!F87</f>
        <v>Geral ou Sedação</v>
      </c>
      <c r="G16" s="17" t="str">
        <f>base!G87</f>
        <v>Day</v>
      </c>
      <c r="H16" s="33">
        <f>base!H87</f>
        <v>6.25E-2</v>
      </c>
      <c r="I16" s="17" t="str">
        <f>base!I87</f>
        <v>-</v>
      </c>
      <c r="J16" s="17" t="str">
        <f>base!K87</f>
        <v>Exclui  hemostático, OPME</v>
      </c>
      <c r="K16" s="47">
        <f>base!L87</f>
        <v>5609.52</v>
      </c>
      <c r="L16" s="48">
        <f>base!M87</f>
        <v>3926.6640000000002</v>
      </c>
      <c r="M16" s="48">
        <f>base!N87</f>
        <v>550</v>
      </c>
    </row>
    <row r="17" spans="2:13" ht="43.5" customHeight="1">
      <c r="B17" s="17" t="str">
        <f>base!B88</f>
        <v>30501369 + 30501458 + 30502322</v>
      </c>
      <c r="C17" s="17">
        <f>base!C57</f>
        <v>45020060</v>
      </c>
      <c r="D17" s="17" t="str">
        <f>base!D88</f>
        <v>OTORRINO</v>
      </c>
      <c r="E17" s="17" t="str">
        <f>base!E88</f>
        <v>Septoplastia + Tubinectomia + Sinusectomia</v>
      </c>
      <c r="F17" s="17" t="str">
        <f>base!F88</f>
        <v>Geral ou Sedação</v>
      </c>
      <c r="G17" s="17">
        <f>base!G88</f>
        <v>1</v>
      </c>
      <c r="H17" s="33">
        <f>base!H88</f>
        <v>8.3333333333333329E-2</v>
      </c>
      <c r="I17" s="17" t="str">
        <f>base!I88</f>
        <v>-</v>
      </c>
      <c r="J17" s="17" t="str">
        <f>base!K88</f>
        <v>Exclui  hemostático, OPME</v>
      </c>
      <c r="K17" s="47">
        <f>base!L88</f>
        <v>6181.92</v>
      </c>
      <c r="L17" s="48">
        <f>base!M88</f>
        <v>4327.3440000000001</v>
      </c>
      <c r="M17" s="48">
        <f>base!N88</f>
        <v>550</v>
      </c>
    </row>
    <row r="18" spans="2:13" ht="35.1" customHeight="1">
      <c r="B18" s="17">
        <f>base!B89</f>
        <v>30502322</v>
      </c>
      <c r="C18" s="17">
        <f>base!C58</f>
        <v>45020051</v>
      </c>
      <c r="D18" s="17" t="str">
        <f>base!D89</f>
        <v>OTORRINO</v>
      </c>
      <c r="E18" s="17" t="str">
        <f>base!E89</f>
        <v>Sinusectomia maxilar - via endonasal por videoendoscopia</v>
      </c>
      <c r="F18" s="17" t="str">
        <f>base!F89</f>
        <v>Geral ou Sedação</v>
      </c>
      <c r="G18" s="17" t="str">
        <f>base!G89</f>
        <v>Day</v>
      </c>
      <c r="H18" s="33">
        <f>base!H89</f>
        <v>4.1666666666666664E-2</v>
      </c>
      <c r="I18" s="17" t="str">
        <f>base!I89</f>
        <v>-</v>
      </c>
      <c r="J18" s="17" t="str">
        <f>base!K89</f>
        <v>Exclui  hemostático, OPME</v>
      </c>
      <c r="K18" s="47">
        <f>base!L89</f>
        <v>4693.68</v>
      </c>
      <c r="L18" s="48">
        <f>base!M89</f>
        <v>3285.576</v>
      </c>
      <c r="M18" s="48">
        <f>base!N89</f>
        <v>390</v>
      </c>
    </row>
    <row r="19" spans="2:13" ht="35.1" customHeight="1">
      <c r="B19" s="17">
        <f>base!B90</f>
        <v>30403154</v>
      </c>
      <c r="C19" s="17" t="str">
        <f>base!C59</f>
        <v>-</v>
      </c>
      <c r="D19" s="17" t="str">
        <f>base!D90</f>
        <v>OTORRINO</v>
      </c>
      <c r="E19" s="17" t="str">
        <f>base!E90</f>
        <v>Timpanotomia para tubo de ventilação unilateral</v>
      </c>
      <c r="F19" s="17" t="str">
        <f>base!F90</f>
        <v>Geral ou Sedação</v>
      </c>
      <c r="G19" s="17" t="str">
        <f>base!G90</f>
        <v>Day</v>
      </c>
      <c r="H19" s="33">
        <f>base!H90</f>
        <v>4.1666666666666664E-2</v>
      </c>
      <c r="I19" s="17" t="str">
        <f>base!I90</f>
        <v>Tubo de Ventilação Armstrong*</v>
      </c>
      <c r="J19" s="17" t="str">
        <f>base!K90</f>
        <v>Exclui  hemostático, OPME</v>
      </c>
      <c r="K19" s="47">
        <f>base!L90</f>
        <v>4235.76</v>
      </c>
      <c r="L19" s="48">
        <f>base!M90</f>
        <v>3388.6080000000002</v>
      </c>
      <c r="M19" s="48">
        <f>base!N90</f>
        <v>390</v>
      </c>
    </row>
    <row r="20" spans="2:13" ht="35.1" customHeight="1">
      <c r="B20" s="17">
        <f>base!B91</f>
        <v>30501458</v>
      </c>
      <c r="C20" s="17" t="str">
        <f>base!C60</f>
        <v>-</v>
      </c>
      <c r="D20" s="17" t="str">
        <f>base!D91</f>
        <v>OTORRINO</v>
      </c>
      <c r="E20" s="17" t="str">
        <f>base!E91</f>
        <v>Turbinectomia ou turbinoplastia</v>
      </c>
      <c r="F20" s="17" t="str">
        <f>base!F91</f>
        <v>Geral ou Sedação</v>
      </c>
      <c r="G20" s="17" t="str">
        <f>base!G91</f>
        <v>Day</v>
      </c>
      <c r="H20" s="33">
        <f>base!H91</f>
        <v>4.1666666666666664E-2</v>
      </c>
      <c r="I20" s="17" t="str">
        <f>base!I91</f>
        <v>-</v>
      </c>
      <c r="J20" s="17" t="str">
        <f>base!K91</f>
        <v>Exclui  hemostático, OPME</v>
      </c>
      <c r="K20" s="47">
        <f>base!L91</f>
        <v>4235.76</v>
      </c>
      <c r="L20" s="48">
        <f>base!M91</f>
        <v>2965.0320000000002</v>
      </c>
      <c r="M20" s="48">
        <f>base!N91</f>
        <v>390</v>
      </c>
    </row>
    <row r="21" spans="2:13" ht="35.1" customHeight="1">
      <c r="B21" s="35"/>
      <c r="C21" s="35"/>
      <c r="D21" s="35"/>
      <c r="E21" s="35"/>
      <c r="F21" s="35"/>
      <c r="G21" s="35"/>
      <c r="H21" s="36"/>
      <c r="I21" s="35"/>
      <c r="J21" s="35"/>
      <c r="K21" s="42"/>
      <c r="L21" s="51"/>
      <c r="M21" s="51"/>
    </row>
    <row r="22" spans="2:13">
      <c r="B22" s="35"/>
      <c r="C22" s="3"/>
      <c r="D22" s="35"/>
      <c r="E22" s="35"/>
      <c r="F22" s="35"/>
      <c r="G22" s="35"/>
      <c r="H22" s="36"/>
      <c r="I22" s="35"/>
      <c r="J22" s="35"/>
      <c r="K22" s="37"/>
      <c r="L22" s="51"/>
      <c r="M22" s="51"/>
    </row>
    <row r="23" spans="2:13">
      <c r="B23" s="12" t="s">
        <v>201</v>
      </c>
    </row>
  </sheetData>
  <sheetProtection algorithmName="SHA-512" hashValue="2ic7B1uIA8E/CdKYoKdUCeho8xcu5wGkl1Ywsq3Pki7LV6UPbm0tPDEANFgImIA8wr2efhynsxin8Xd9ytbneA==" saltValue="ZNmG02A6DmbtXgotZOhh0w==" spinCount="100000" sheet="1" autoFilter="0"/>
  <autoFilter ref="B8:L8" xr:uid="{00000000-0009-0000-0000-00000C000000}"/>
  <printOptions horizontalCentered="1"/>
  <pageMargins left="0.11811023622047245" right="0.11811023622047245" top="0.98425196850393704" bottom="0.39370078740157483" header="0.19685039370078741" footer="0.11811023622047245"/>
  <pageSetup paperSize="9" scale="90" orientation="landscape" verticalDpi="0" r:id="rId1"/>
  <headerFooter>
    <oddHeader>&amp;L&amp;G&amp;C&amp;"-,Negrito"&amp;12HOSPITAL VERA CRUZ
PREÇOS PADRONIZADOS -PARTICULAR
&amp;K03+000OTORRINO</oddHeader>
    <oddFooter>&amp;C&amp;8&amp;P/&amp;N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2"/>
  <dimension ref="A1:N36"/>
  <sheetViews>
    <sheetView showGridLines="0" topLeftCell="D1" workbookViewId="0">
      <selection activeCell="N9" sqref="N9"/>
    </sheetView>
  </sheetViews>
  <sheetFormatPr defaultRowHeight="15"/>
  <cols>
    <col min="2" max="2" width="9" bestFit="1" customWidth="1"/>
    <col min="3" max="3" width="9" hidden="1" customWidth="1"/>
    <col min="4" max="4" width="11" customWidth="1"/>
    <col min="5" max="5" width="29.85546875" customWidth="1"/>
    <col min="6" max="6" width="10.5703125" customWidth="1"/>
    <col min="7" max="7" width="17" customWidth="1"/>
    <col min="8" max="8" width="7.85546875" style="5" bestFit="1" customWidth="1"/>
    <col min="9" max="9" width="24.5703125" customWidth="1"/>
    <col min="10" max="10" width="20" customWidth="1"/>
    <col min="11" max="11" width="19.28515625" customWidth="1"/>
    <col min="12" max="12" width="15.42578125" style="4" customWidth="1"/>
    <col min="13" max="14" width="17" style="49" bestFit="1" customWidth="1"/>
  </cols>
  <sheetData>
    <row r="1" spans="1:14">
      <c r="E1" s="9"/>
      <c r="K1" s="4"/>
      <c r="L1"/>
    </row>
    <row r="2" spans="1:14" ht="25.5">
      <c r="A2" s="10"/>
      <c r="B2" s="11"/>
      <c r="C2" s="10"/>
      <c r="D2" s="10"/>
      <c r="E2" s="10"/>
      <c r="F2" s="10"/>
      <c r="G2" s="10"/>
      <c r="H2" s="10"/>
      <c r="I2" s="10"/>
      <c r="L2"/>
    </row>
    <row r="3" spans="1:14">
      <c r="A3" s="10"/>
      <c r="B3" s="10"/>
      <c r="C3" s="10"/>
      <c r="D3" s="10"/>
      <c r="E3" s="10"/>
      <c r="F3" s="10"/>
      <c r="G3" s="10"/>
      <c r="H3" s="10"/>
      <c r="I3" s="10"/>
      <c r="L3"/>
    </row>
    <row r="4" spans="1:14">
      <c r="A4" s="10"/>
      <c r="B4" s="10"/>
      <c r="C4" s="10"/>
      <c r="D4" s="10"/>
      <c r="E4" s="10"/>
      <c r="F4" s="10"/>
      <c r="G4" s="10"/>
      <c r="H4" s="10"/>
      <c r="I4" s="10"/>
      <c r="L4"/>
    </row>
    <row r="5" spans="1:14" ht="26.25" customHeight="1">
      <c r="A5" s="10"/>
      <c r="B5" s="10"/>
      <c r="C5" s="10"/>
      <c r="D5" s="10"/>
      <c r="E5" s="10"/>
      <c r="F5" s="10"/>
      <c r="G5" s="10"/>
      <c r="H5" s="10"/>
      <c r="I5" s="10"/>
      <c r="L5"/>
    </row>
    <row r="6" spans="1:14" s="1" customFormat="1" ht="42" customHeight="1">
      <c r="B6" s="43" t="s">
        <v>89</v>
      </c>
      <c r="C6" s="43" t="s">
        <v>88</v>
      </c>
      <c r="D6" s="43" t="s">
        <v>29</v>
      </c>
      <c r="E6" s="43" t="s">
        <v>24</v>
      </c>
      <c r="F6" s="43" t="s">
        <v>25</v>
      </c>
      <c r="G6" s="43" t="s">
        <v>26</v>
      </c>
      <c r="H6" s="43" t="s">
        <v>27</v>
      </c>
      <c r="I6" s="43" t="s">
        <v>35</v>
      </c>
      <c r="J6" s="43" t="str">
        <f>base!J2</f>
        <v>Fornecedor Homologado - itens inclusos</v>
      </c>
      <c r="K6" s="43" t="s">
        <v>28</v>
      </c>
      <c r="L6" s="43" t="s">
        <v>243</v>
      </c>
      <c r="M6" s="50" t="s">
        <v>244</v>
      </c>
      <c r="N6" s="50" t="s">
        <v>250</v>
      </c>
    </row>
    <row r="7" spans="1:14" ht="35.1" customHeight="1">
      <c r="B7" s="17">
        <f>base!B94</f>
        <v>31201016</v>
      </c>
      <c r="C7" s="17">
        <f>base!C63</f>
        <v>94010070</v>
      </c>
      <c r="D7" s="17" t="str">
        <f>base!D94</f>
        <v>UROLOGIA</v>
      </c>
      <c r="E7" s="17" t="str">
        <f>base!E94</f>
        <v>Ablação Prostática a Laser</v>
      </c>
      <c r="F7" s="17" t="str">
        <f>base!F94</f>
        <v>Qualquer Tipo</v>
      </c>
      <c r="G7" s="17">
        <f>base!G94</f>
        <v>2</v>
      </c>
      <c r="H7" s="33">
        <f>base!H94</f>
        <v>8.3333333333333329E-2</v>
      </c>
      <c r="I7" s="17" t="str">
        <f>base!I94</f>
        <v>1 fibra óptica Green light</v>
      </c>
      <c r="J7" s="17" t="str">
        <f>base!J94</f>
        <v>Boston</v>
      </c>
      <c r="K7" s="17" t="str">
        <f>base!K94</f>
        <v>-</v>
      </c>
      <c r="L7" s="47">
        <f>base!L94</f>
        <v>13050.720000000001</v>
      </c>
      <c r="M7" s="48">
        <f>base!M94</f>
        <v>10440.576000000001</v>
      </c>
      <c r="N7" s="48">
        <f>base!N94</f>
        <v>550</v>
      </c>
    </row>
    <row r="8" spans="1:14" ht="35.1" customHeight="1">
      <c r="B8" s="17">
        <f>base!B95</f>
        <v>31201016</v>
      </c>
      <c r="C8" s="17" t="str">
        <f>base!C64</f>
        <v>-</v>
      </c>
      <c r="D8" s="17" t="str">
        <f>base!D95</f>
        <v>UROLOGIA</v>
      </c>
      <c r="E8" s="17" t="str">
        <f>base!E95</f>
        <v>Ablação Prostática a Laser</v>
      </c>
      <c r="F8" s="17" t="str">
        <f>base!F95</f>
        <v>Qualquer Tipo</v>
      </c>
      <c r="G8" s="17">
        <f>base!G95</f>
        <v>1</v>
      </c>
      <c r="H8" s="33">
        <f>base!H95</f>
        <v>8.3333333333333329E-2</v>
      </c>
      <c r="I8" s="17" t="str">
        <f>base!I95</f>
        <v>1 fibra óptica Green light</v>
      </c>
      <c r="J8" s="17" t="str">
        <f>base!J95</f>
        <v>Boston</v>
      </c>
      <c r="K8" s="17" t="str">
        <f>base!K95</f>
        <v>-</v>
      </c>
      <c r="L8" s="47">
        <f>base!L95</f>
        <v>12020.400000000001</v>
      </c>
      <c r="M8" s="48">
        <f>base!M95</f>
        <v>9616.3200000000015</v>
      </c>
      <c r="N8" s="48">
        <f>base!N95</f>
        <v>550</v>
      </c>
    </row>
    <row r="9" spans="1:14" ht="35.1" customHeight="1">
      <c r="B9" s="17">
        <f>base!B96</f>
        <v>31203027</v>
      </c>
      <c r="C9" s="17" t="str">
        <f>base!C65</f>
        <v>-</v>
      </c>
      <c r="D9" s="17" t="str">
        <f>base!D96</f>
        <v>UROLOGIA</v>
      </c>
      <c r="E9" s="17" t="str">
        <f>base!E96</f>
        <v>Biópsia Unilateral de Testículo</v>
      </c>
      <c r="F9" s="17" t="str">
        <f>base!F96</f>
        <v>Qualquer Tipo</v>
      </c>
      <c r="G9" s="17" t="str">
        <f>base!G96</f>
        <v>Day</v>
      </c>
      <c r="H9" s="33">
        <f>base!H96</f>
        <v>6.25E-2</v>
      </c>
      <c r="I9" s="17" t="str">
        <f>base!I96</f>
        <v>-</v>
      </c>
      <c r="J9" s="17" t="str">
        <f>base!J96</f>
        <v>-</v>
      </c>
      <c r="K9" s="17" t="str">
        <f>base!K96</f>
        <v>Exclui OPME</v>
      </c>
      <c r="L9" s="47">
        <f>base!L96</f>
        <v>4579.2000000000007</v>
      </c>
      <c r="M9" s="48">
        <f>base!M96</f>
        <v>3205.4400000000005</v>
      </c>
      <c r="N9" s="48">
        <f>base!N96</f>
        <v>390</v>
      </c>
    </row>
    <row r="10" spans="1:14" ht="35.1" customHeight="1">
      <c r="B10" s="17">
        <f>base!B97</f>
        <v>40201066</v>
      </c>
      <c r="C10" s="17">
        <f>base!C66</f>
        <v>45070016</v>
      </c>
      <c r="D10" s="17" t="str">
        <f>base!D97</f>
        <v>UROLOGIA</v>
      </c>
      <c r="E10" s="17" t="str">
        <f>base!E97</f>
        <v>Cistoscopia e/ou uretroscopia</v>
      </c>
      <c r="F10" s="17" t="str">
        <f>base!F97</f>
        <v>Sedação</v>
      </c>
      <c r="G10" s="17" t="str">
        <f>base!G97</f>
        <v>Day</v>
      </c>
      <c r="H10" s="33">
        <f>base!H97</f>
        <v>4.1666666666666664E-2</v>
      </c>
      <c r="I10" s="17" t="str">
        <f>base!I97</f>
        <v>-</v>
      </c>
      <c r="J10" s="17" t="str">
        <f>base!J97</f>
        <v>-</v>
      </c>
      <c r="K10" s="17" t="str">
        <f>base!K97</f>
        <v>Exclui OPME e Anatomo</v>
      </c>
      <c r="L10" s="47">
        <f>base!L97</f>
        <v>4464.72</v>
      </c>
      <c r="M10" s="48">
        <f>base!M97</f>
        <v>3125.3040000000001</v>
      </c>
      <c r="N10" s="48">
        <f>base!N97</f>
        <v>390</v>
      </c>
    </row>
    <row r="11" spans="1:14" ht="35.1" customHeight="1">
      <c r="B11" s="17">
        <f>base!B98</f>
        <v>40201066</v>
      </c>
      <c r="C11" s="17">
        <f>base!C67</f>
        <v>45080194</v>
      </c>
      <c r="D11" s="17" t="str">
        <f>base!D98</f>
        <v>UROLOGIA</v>
      </c>
      <c r="E11" s="17" t="str">
        <f>base!E98</f>
        <v>Cistoscopia e/ou uretroscopia</v>
      </c>
      <c r="F11" s="17" t="str">
        <f>base!F98</f>
        <v>Sedação</v>
      </c>
      <c r="G11" s="17" t="str">
        <f>base!G98</f>
        <v>AMBULATORIAL
(setor sem diária)</v>
      </c>
      <c r="H11" s="33">
        <f>base!H98</f>
        <v>4.1666666666666664E-2</v>
      </c>
      <c r="I11" s="17" t="str">
        <f>base!I98</f>
        <v>-</v>
      </c>
      <c r="J11" s="17" t="str">
        <f>base!J98</f>
        <v>-</v>
      </c>
      <c r="K11" s="17" t="str">
        <f>base!K98</f>
        <v>Exclui OPME e Anatomo</v>
      </c>
      <c r="L11" s="47">
        <f>base!L98</f>
        <v>3205.44</v>
      </c>
      <c r="M11" s="48">
        <f>base!M98</f>
        <v>2243.808</v>
      </c>
      <c r="N11" s="48">
        <f>base!N98</f>
        <v>390</v>
      </c>
    </row>
    <row r="12" spans="1:14" ht="42.75" customHeight="1">
      <c r="B12" s="17" t="str">
        <f>base!B99</f>
        <v>31206050 / 31206034</v>
      </c>
      <c r="C12" s="17" t="e">
        <f>base!#REF!</f>
        <v>#REF!</v>
      </c>
      <c r="D12" s="17" t="str">
        <f>base!D99</f>
        <v>UROLOGIA</v>
      </c>
      <c r="E12" s="17" t="str">
        <f>base!E99</f>
        <v xml:space="preserve">Eletrocoagulação de lesões cutâneas  /  Biópsia peniana       </v>
      </c>
      <c r="F12" s="17" t="str">
        <f>base!F99</f>
        <v>Local</v>
      </c>
      <c r="G12" s="17" t="str">
        <f>base!G99</f>
        <v>AMBULATORIAL
(setor sem diária)</v>
      </c>
      <c r="H12" s="33">
        <f>base!H99</f>
        <v>2.0833333333333332E-2</v>
      </c>
      <c r="I12" s="17" t="str">
        <f>base!I99</f>
        <v>-</v>
      </c>
      <c r="J12" s="17" t="str">
        <f>base!J99</f>
        <v>-</v>
      </c>
      <c r="K12" s="17" t="str">
        <f>base!K99</f>
        <v>Exclui OPME</v>
      </c>
      <c r="L12" s="47">
        <f>base!L99</f>
        <v>629.64</v>
      </c>
      <c r="M12" s="48">
        <f>base!M99</f>
        <v>440.74799999999999</v>
      </c>
      <c r="N12" s="48">
        <f>base!N99</f>
        <v>550</v>
      </c>
    </row>
    <row r="13" spans="1:14" ht="35.1" customHeight="1">
      <c r="B13" s="17">
        <f>base!B100</f>
        <v>31203043</v>
      </c>
      <c r="C13" s="17">
        <f>base!C68</f>
        <v>45080100</v>
      </c>
      <c r="D13" s="17" t="str">
        <f>base!D100</f>
        <v>UROLOGIA</v>
      </c>
      <c r="E13" s="17" t="str">
        <f>base!E100</f>
        <v>Hidrocele: correção cirúrgica</v>
      </c>
      <c r="F13" s="17" t="str">
        <f>base!F100</f>
        <v>Qualquer Tipo</v>
      </c>
      <c r="G13" s="17" t="str">
        <f>base!G100</f>
        <v>Day</v>
      </c>
      <c r="H13" s="33">
        <f>base!H100</f>
        <v>6.25E-2</v>
      </c>
      <c r="I13" s="17" t="str">
        <f>base!I100</f>
        <v>-</v>
      </c>
      <c r="J13" s="17" t="str">
        <f>base!J100</f>
        <v>-</v>
      </c>
      <c r="K13" s="17" t="str">
        <f>base!K100</f>
        <v>Exclui OPME</v>
      </c>
      <c r="L13" s="47">
        <f>base!L100</f>
        <v>4579.2000000000007</v>
      </c>
      <c r="M13" s="48">
        <f>base!M100</f>
        <v>3205.4400000000005</v>
      </c>
      <c r="N13" s="48" t="str">
        <f>base!N100</f>
        <v>-</v>
      </c>
    </row>
    <row r="14" spans="1:14" ht="35.1" customHeight="1">
      <c r="B14" s="17">
        <f>base!B101</f>
        <v>31102042</v>
      </c>
      <c r="C14" s="17">
        <f>base!C69</f>
        <v>45080186</v>
      </c>
      <c r="D14" s="17" t="str">
        <f>base!D101</f>
        <v>UROLOGIA</v>
      </c>
      <c r="E14" s="17" t="str">
        <f>base!E101</f>
        <v>Implante de Duplo J</v>
      </c>
      <c r="F14" s="17" t="str">
        <f>base!F101</f>
        <v>Sedação</v>
      </c>
      <c r="G14" s="17" t="str">
        <f>base!G101</f>
        <v>Day</v>
      </c>
      <c r="H14" s="33">
        <f>base!H101</f>
        <v>4.1666666666666664E-2</v>
      </c>
      <c r="I14" s="17" t="str">
        <f>base!I101</f>
        <v>1 fio guia, 01  Duplo J</v>
      </c>
      <c r="J14" s="17" t="str">
        <f>base!J101</f>
        <v>Boston OU Cook  Allent OU Handle</v>
      </c>
      <c r="K14" s="17" t="str">
        <f>base!K101</f>
        <v>-</v>
      </c>
      <c r="L14" s="47">
        <f>base!L101</f>
        <v>5151.6000000000004</v>
      </c>
      <c r="M14" s="48">
        <f>base!M101</f>
        <v>4121.2800000000007</v>
      </c>
      <c r="N14" s="48" t="str">
        <f>base!N101</f>
        <v>-</v>
      </c>
    </row>
    <row r="15" spans="1:14" ht="35.1" customHeight="1">
      <c r="B15" s="17">
        <f>base!B102</f>
        <v>31206140</v>
      </c>
      <c r="C15" s="17">
        <f>base!C70</f>
        <v>94010051</v>
      </c>
      <c r="D15" s="17" t="str">
        <f>base!D102</f>
        <v>UROLOGIA</v>
      </c>
      <c r="E15" s="17" t="str">
        <f>base!E102</f>
        <v>Implante de prótese peniana Semi Rígida</v>
      </c>
      <c r="F15" s="17" t="str">
        <f>base!F102</f>
        <v>Qualquer Tipo</v>
      </c>
      <c r="G15" s="17">
        <f>base!G102</f>
        <v>1</v>
      </c>
      <c r="H15" s="33">
        <f>base!H102</f>
        <v>8.3333333333333329E-2</v>
      </c>
      <c r="I15" s="17" t="str">
        <f>base!I102</f>
        <v>-</v>
      </c>
      <c r="J15" s="17" t="str">
        <f>base!J102</f>
        <v>-</v>
      </c>
      <c r="K15" s="17" t="str">
        <f>base!K102</f>
        <v>Exclui Prótese</v>
      </c>
      <c r="L15" s="47">
        <f>base!L102</f>
        <v>5495.04</v>
      </c>
      <c r="M15" s="48">
        <f>base!M102</f>
        <v>3846.5279999999998</v>
      </c>
      <c r="N15" s="48" t="str">
        <f>base!N102</f>
        <v>-</v>
      </c>
    </row>
    <row r="16" spans="1:14" ht="35.1" customHeight="1">
      <c r="B16" s="17">
        <f>base!B103</f>
        <v>31206140</v>
      </c>
      <c r="C16" s="17">
        <f>base!C71</f>
        <v>52110052</v>
      </c>
      <c r="D16" s="17" t="str">
        <f>base!D103</f>
        <v>UROLOGIA</v>
      </c>
      <c r="E16" s="17" t="str">
        <f>base!E103</f>
        <v>Implante de prótese peniana Semi Rígida</v>
      </c>
      <c r="F16" s="17" t="str">
        <f>base!F103</f>
        <v>Qualquer Tipo</v>
      </c>
      <c r="G16" s="17" t="str">
        <f>base!G103</f>
        <v>Day</v>
      </c>
      <c r="H16" s="33">
        <f>base!H103</f>
        <v>8.3333333333333329E-2</v>
      </c>
      <c r="I16" s="17" t="str">
        <f>base!I103</f>
        <v>-</v>
      </c>
      <c r="J16" s="17" t="str">
        <f>base!J103</f>
        <v>-</v>
      </c>
      <c r="K16" s="17" t="str">
        <f>base!K103</f>
        <v>Exclui Prótese</v>
      </c>
      <c r="L16" s="47">
        <f>base!L103</f>
        <v>4579.2000000000007</v>
      </c>
      <c r="M16" s="48">
        <f>base!M103</f>
        <v>3205.4400000000005</v>
      </c>
      <c r="N16" s="48" t="str">
        <f>base!N103</f>
        <v>-</v>
      </c>
    </row>
    <row r="17" spans="2:14" ht="60.75" customHeight="1">
      <c r="B17" s="17">
        <f>base!B104</f>
        <v>31101194</v>
      </c>
      <c r="C17" s="17">
        <f>base!C72</f>
        <v>52130045</v>
      </c>
      <c r="D17" s="17" t="str">
        <f>base!D104</f>
        <v>UROLOGIA</v>
      </c>
      <c r="E17" s="17" t="str">
        <f>base!E104</f>
        <v>Nefrectomia Total Unilateral</v>
      </c>
      <c r="F17" s="17" t="str">
        <f>base!F104</f>
        <v>Qualquer Tipo</v>
      </c>
      <c r="G17" s="17">
        <f>base!G104</f>
        <v>4</v>
      </c>
      <c r="H17" s="33">
        <f>base!H104</f>
        <v>0.125</v>
      </c>
      <c r="I17" s="17" t="str">
        <f>base!I104</f>
        <v xml:space="preserve">04 cartuchos hemolock </v>
      </c>
      <c r="J17" s="17" t="str">
        <f>base!J104</f>
        <v>Estoque</v>
      </c>
      <c r="K17" s="17" t="str">
        <f>base!K104</f>
        <v>-</v>
      </c>
      <c r="L17" s="47">
        <f>base!L104</f>
        <v>21751.200000000001</v>
      </c>
      <c r="M17" s="48">
        <f>base!M104</f>
        <v>17400.960000000003</v>
      </c>
      <c r="N17" s="48">
        <f>base!N104</f>
        <v>1450</v>
      </c>
    </row>
    <row r="18" spans="2:14" ht="59.25" customHeight="1">
      <c r="B18" s="17">
        <f>base!B105</f>
        <v>31101585</v>
      </c>
      <c r="C18" s="17">
        <f>base!C73</f>
        <v>52130045</v>
      </c>
      <c r="D18" s="17" t="str">
        <f>base!D105</f>
        <v>UROLOGIA</v>
      </c>
      <c r="E18" s="17" t="str">
        <f>base!E105</f>
        <v>Nefrectomia total unilateral por videolaparoscopia</v>
      </c>
      <c r="F18" s="17" t="str">
        <f>base!F105</f>
        <v>Qualquer Tipo</v>
      </c>
      <c r="G18" s="17">
        <f>base!G105</f>
        <v>3</v>
      </c>
      <c r="H18" s="33">
        <f>base!H105</f>
        <v>0.125</v>
      </c>
      <c r="I18" s="17" t="str">
        <f>base!I105</f>
        <v>2 trocater, 01 ultracison, 01 agulha veres, 04 cartuchos Hemolok</v>
      </c>
      <c r="J18" s="17" t="str">
        <f>base!J105</f>
        <v>Johnson OU Medtronik e Cartucho Estoque</v>
      </c>
      <c r="K18" s="17" t="str">
        <f>base!K105</f>
        <v>-</v>
      </c>
      <c r="L18" s="47">
        <f>base!L105</f>
        <v>21751.200000000001</v>
      </c>
      <c r="M18" s="48">
        <f>base!M105</f>
        <v>17400.960000000003</v>
      </c>
      <c r="N18" s="48">
        <f>base!N105</f>
        <v>1450</v>
      </c>
    </row>
    <row r="19" spans="2:14" ht="35.1" customHeight="1">
      <c r="B19" s="17">
        <f>base!B106</f>
        <v>31101275</v>
      </c>
      <c r="C19" s="17" t="str">
        <f>base!C74</f>
        <v>-</v>
      </c>
      <c r="D19" s="17" t="str">
        <f>base!D106</f>
        <v>UROLOGIA</v>
      </c>
      <c r="E19" s="17" t="str">
        <f>base!E106</f>
        <v>Nefrolitotripsia Percutânea Unilateral</v>
      </c>
      <c r="F19" s="17" t="str">
        <f>base!F106</f>
        <v>Qualquer Tipo</v>
      </c>
      <c r="G19" s="17">
        <f>base!G106</f>
        <v>2</v>
      </c>
      <c r="H19" s="33">
        <f>base!H106</f>
        <v>0.125</v>
      </c>
      <c r="I19" s="17" t="str">
        <f>base!I106</f>
        <v>01 kit Amplatz, 01 Agulha de punção, 01 fio Guia, 01 sonda Ureteral, 01 duplo J  (Boston ou Cook)</v>
      </c>
      <c r="J19" s="17" t="str">
        <f>base!J106</f>
        <v>Boston OU Cook  Allent OU Handle</v>
      </c>
      <c r="K19" s="17" t="str">
        <f>base!K106</f>
        <v>-</v>
      </c>
      <c r="L19" s="47">
        <f>base!L106</f>
        <v>18545.760000000002</v>
      </c>
      <c r="M19" s="48">
        <f>base!M106</f>
        <v>14836.608000000002</v>
      </c>
      <c r="N19" s="48" t="str">
        <f>base!N106</f>
        <v>-</v>
      </c>
    </row>
    <row r="20" spans="2:14" ht="60" customHeight="1">
      <c r="B20" s="17">
        <f>base!B107</f>
        <v>31203060</v>
      </c>
      <c r="C20" s="17" t="str">
        <f>base!C75</f>
        <v>-</v>
      </c>
      <c r="D20" s="17" t="str">
        <f>base!D107</f>
        <v>UROLOGIA</v>
      </c>
      <c r="E20" s="17" t="str">
        <f>base!E107</f>
        <v>Orquidopexia Unilateral</v>
      </c>
      <c r="F20" s="17" t="str">
        <f>base!F107</f>
        <v>Qualquer Tipo</v>
      </c>
      <c r="G20" s="17">
        <f>base!G107</f>
        <v>1</v>
      </c>
      <c r="H20" s="33">
        <f>base!H107</f>
        <v>4.1666666666666664E-2</v>
      </c>
      <c r="I20" s="17" t="str">
        <f>base!I107</f>
        <v>-</v>
      </c>
      <c r="J20" s="17" t="str">
        <f>base!J107</f>
        <v>-</v>
      </c>
      <c r="K20" s="17" t="str">
        <f>base!K107</f>
        <v>Exclui OPME</v>
      </c>
      <c r="L20" s="47">
        <f>base!L107</f>
        <v>3205.44</v>
      </c>
      <c r="M20" s="48">
        <f>base!M107</f>
        <v>2243.808</v>
      </c>
      <c r="N20" s="48" t="str">
        <f>base!N107</f>
        <v>-</v>
      </c>
    </row>
    <row r="21" spans="2:14" ht="60" customHeight="1">
      <c r="B21" s="17">
        <f>base!B108</f>
        <v>31206220</v>
      </c>
      <c r="C21" s="17" t="str">
        <f>base!C76</f>
        <v>-</v>
      </c>
      <c r="D21" s="17" t="str">
        <f>base!D108</f>
        <v>UROLOGIA</v>
      </c>
      <c r="E21" s="17" t="str">
        <f>base!E108</f>
        <v>Postectomia</v>
      </c>
      <c r="F21" s="17" t="str">
        <f>base!F108</f>
        <v>Local / Sedação</v>
      </c>
      <c r="G21" s="17" t="str">
        <f>base!G108</f>
        <v>Day</v>
      </c>
      <c r="H21" s="33">
        <f>base!H108</f>
        <v>4.1666666666666664E-2</v>
      </c>
      <c r="I21" s="17" t="str">
        <f>base!I108</f>
        <v>-</v>
      </c>
      <c r="J21" s="17" t="str">
        <f>base!J108</f>
        <v>-</v>
      </c>
      <c r="K21" s="17" t="str">
        <f>base!K108</f>
        <v>Exclui OPME</v>
      </c>
      <c r="L21" s="47">
        <f>base!L108</f>
        <v>2976.48</v>
      </c>
      <c r="M21" s="48">
        <f>base!M108</f>
        <v>2083.5360000000001</v>
      </c>
      <c r="N21" s="48">
        <f>base!N108</f>
        <v>390</v>
      </c>
    </row>
    <row r="22" spans="2:14" ht="68.25" customHeight="1">
      <c r="B22" s="17">
        <f>base!B109</f>
        <v>31206220</v>
      </c>
      <c r="C22" s="17">
        <f>base!C77</f>
        <v>52130061</v>
      </c>
      <c r="D22" s="17" t="str">
        <f>base!D109</f>
        <v>UROLOGIA</v>
      </c>
      <c r="E22" s="17" t="str">
        <f>base!E109</f>
        <v>Postectomia</v>
      </c>
      <c r="F22" s="17" t="str">
        <f>base!F109</f>
        <v>Local</v>
      </c>
      <c r="G22" s="17" t="str">
        <f>base!G109</f>
        <v>AMBULATORIAL
(setor sem diária)</v>
      </c>
      <c r="H22" s="33">
        <f>base!H109</f>
        <v>4.1666666666666664E-2</v>
      </c>
      <c r="I22" s="17" t="str">
        <f>base!I109</f>
        <v>-</v>
      </c>
      <c r="J22" s="17" t="str">
        <f>base!J109</f>
        <v>-</v>
      </c>
      <c r="K22" s="17" t="str">
        <f>base!K109</f>
        <v>Exclui OPME</v>
      </c>
      <c r="L22" s="47">
        <f>base!L109</f>
        <v>1946.16</v>
      </c>
      <c r="M22" s="48">
        <f>base!M109</f>
        <v>1362.3119999999999</v>
      </c>
      <c r="N22" s="48">
        <f>base!N109</f>
        <v>390</v>
      </c>
    </row>
    <row r="23" spans="2:14" ht="60" customHeight="1">
      <c r="B23" s="17">
        <f>base!B110</f>
        <v>31201130</v>
      </c>
      <c r="C23" s="17">
        <f>base!C78</f>
        <v>52130061</v>
      </c>
      <c r="D23" s="17" t="str">
        <f>base!D110</f>
        <v>UROLOGIA</v>
      </c>
      <c r="E23" s="17" t="str">
        <f>base!E110</f>
        <v>Ressecção Prostata - Rolep - Rolep</v>
      </c>
      <c r="F23" s="17" t="str">
        <f>base!F110</f>
        <v>Qualquer Tipo</v>
      </c>
      <c r="G23" s="17">
        <f>base!G110</f>
        <v>1</v>
      </c>
      <c r="H23" s="33">
        <f>base!H110</f>
        <v>8.3333333333333329E-2</v>
      </c>
      <c r="I23" s="17" t="str">
        <f>base!I110</f>
        <v>Sistema de Equipamentos e Instrumentos para Cirurgia de Holep</v>
      </c>
      <c r="J23" s="17" t="str">
        <f>base!J110</f>
        <v>Russer ou Multimed</v>
      </c>
      <c r="K23" s="17">
        <f>base!K110</f>
        <v>0</v>
      </c>
      <c r="L23" s="47">
        <f>base!L110</f>
        <v>17172</v>
      </c>
      <c r="M23" s="48">
        <f>base!M110</f>
        <v>13737.6</v>
      </c>
      <c r="N23" s="48">
        <f>base!N110</f>
        <v>550</v>
      </c>
    </row>
    <row r="24" spans="2:14" ht="60" customHeight="1">
      <c r="B24" s="17">
        <f>base!B111</f>
        <v>31201130</v>
      </c>
      <c r="C24" s="17" t="str">
        <f>base!C79</f>
        <v>-</v>
      </c>
      <c r="D24" s="17" t="str">
        <f>base!D111</f>
        <v>UROLOGIA</v>
      </c>
      <c r="E24" s="17" t="str">
        <f>base!E111</f>
        <v>Ressecção Prostata - Rolep - Rolep</v>
      </c>
      <c r="F24" s="17" t="str">
        <f>base!F111</f>
        <v>Qualquer Tipo</v>
      </c>
      <c r="G24" s="17">
        <f>base!G111</f>
        <v>2</v>
      </c>
      <c r="H24" s="33">
        <f>base!H111</f>
        <v>8.3333333333333329E-2</v>
      </c>
      <c r="I24" s="17" t="str">
        <f>base!I111</f>
        <v>Sistema de Equipamentos e Instrumentos para Cirurgia de Holep</v>
      </c>
      <c r="J24" s="17" t="str">
        <f>base!J111</f>
        <v>Russer ou Multimed</v>
      </c>
      <c r="K24" s="17">
        <f>base!K111</f>
        <v>0</v>
      </c>
      <c r="L24" s="47">
        <f>base!L111</f>
        <v>18252</v>
      </c>
      <c r="M24" s="48">
        <f>base!M111</f>
        <v>14601.6</v>
      </c>
      <c r="N24" s="48">
        <f>base!N111</f>
        <v>550</v>
      </c>
    </row>
    <row r="25" spans="2:14" ht="60" customHeight="1">
      <c r="B25" s="17">
        <f>base!B112</f>
        <v>31103472</v>
      </c>
      <c r="C25" s="17">
        <f>base!C80</f>
        <v>51050030</v>
      </c>
      <c r="D25" s="17" t="str">
        <f>base!D112</f>
        <v>UROLOGIA</v>
      </c>
      <c r="E25" s="17" t="str">
        <f>base!E112</f>
        <v>Retirada Endoscopica de Cateter Duplo J</v>
      </c>
      <c r="F25" s="17" t="str">
        <f>base!F112</f>
        <v>Qualquer Tipo</v>
      </c>
      <c r="G25" s="17" t="str">
        <f>base!G112</f>
        <v>Day</v>
      </c>
      <c r="H25" s="33">
        <f>base!H112</f>
        <v>4.1666666666666664E-2</v>
      </c>
      <c r="I25" s="17" t="str">
        <f>base!I112</f>
        <v>-</v>
      </c>
      <c r="J25" s="17" t="str">
        <f>base!J112</f>
        <v>-</v>
      </c>
      <c r="K25" s="17" t="str">
        <f>base!K112</f>
        <v>Exclui Duplo J</v>
      </c>
      <c r="L25" s="47">
        <f>base!L112</f>
        <v>3548.88</v>
      </c>
      <c r="M25" s="48">
        <f>base!M112</f>
        <v>2484.2159999999999</v>
      </c>
      <c r="N25" s="48" t="str">
        <f>base!N112</f>
        <v>-</v>
      </c>
    </row>
    <row r="26" spans="2:14" ht="60" customHeight="1">
      <c r="B26" s="17">
        <f>base!B113</f>
        <v>31205054</v>
      </c>
      <c r="C26" s="17">
        <f>base!C81</f>
        <v>51050021</v>
      </c>
      <c r="D26" s="17" t="str">
        <f>base!D113</f>
        <v>UROLOGIA</v>
      </c>
      <c r="E26" s="17" t="str">
        <f>base!E113</f>
        <v>Reversão de vasectomia (Vasostomia)</v>
      </c>
      <c r="F26" s="17" t="str">
        <f>base!F113</f>
        <v>Qualquer Tipo</v>
      </c>
      <c r="G26" s="17" t="str">
        <f>base!G113</f>
        <v>Day</v>
      </c>
      <c r="H26" s="33">
        <f>base!H113</f>
        <v>0.16666666666666666</v>
      </c>
      <c r="I26" s="17" t="str">
        <f>base!I113</f>
        <v xml:space="preserve">3 Fios Mononylon </v>
      </c>
      <c r="J26" s="17" t="str">
        <f>base!J113</f>
        <v>Estoque</v>
      </c>
      <c r="K26" s="17">
        <f>base!K113</f>
        <v>0</v>
      </c>
      <c r="L26" s="47">
        <f>base!L113</f>
        <v>8586</v>
      </c>
      <c r="M26" s="48">
        <f>base!M113</f>
        <v>6868.8</v>
      </c>
      <c r="N26" s="48" t="str">
        <f>base!N113</f>
        <v>-</v>
      </c>
    </row>
    <row r="27" spans="2:14" ht="60" customHeight="1">
      <c r="B27" s="17">
        <f>base!B114</f>
        <v>31103456</v>
      </c>
      <c r="C27" s="17">
        <f>base!C82</f>
        <v>51050153</v>
      </c>
      <c r="D27" s="17" t="str">
        <f>base!D114</f>
        <v>UROLOGIA</v>
      </c>
      <c r="E27" s="17" t="str">
        <f>base!E114</f>
        <v>RTU de Bexiga</v>
      </c>
      <c r="F27" s="17" t="str">
        <f>base!F114</f>
        <v>Qualquer Tipo</v>
      </c>
      <c r="G27" s="17">
        <f>base!G114</f>
        <v>1</v>
      </c>
      <c r="H27" s="33">
        <f>base!H114</f>
        <v>4.1666666666666664E-2</v>
      </c>
      <c r="I27" s="17" t="str">
        <f>base!I114</f>
        <v>-</v>
      </c>
      <c r="J27" s="17" t="str">
        <f>base!J114</f>
        <v>-</v>
      </c>
      <c r="K27" s="17" t="str">
        <f>base!K114</f>
        <v>Exclui OPME</v>
      </c>
      <c r="L27" s="47">
        <f>base!L114</f>
        <v>6868.8</v>
      </c>
      <c r="M27" s="48">
        <f>base!M114</f>
        <v>4808.16</v>
      </c>
      <c r="N27" s="48">
        <f>base!N114</f>
        <v>550</v>
      </c>
    </row>
    <row r="28" spans="2:14" ht="84" customHeight="1">
      <c r="B28" s="17">
        <f>base!B115</f>
        <v>31103456</v>
      </c>
      <c r="C28" s="17" t="str">
        <f>base!C83</f>
        <v>-</v>
      </c>
      <c r="D28" s="17" t="str">
        <f>base!D115</f>
        <v>UROLOGIA</v>
      </c>
      <c r="E28" s="17" t="str">
        <f>base!E115</f>
        <v>RTU de Bexiga</v>
      </c>
      <c r="F28" s="17" t="str">
        <f>base!F115</f>
        <v>Qualquer Tipo</v>
      </c>
      <c r="G28" s="17">
        <f>base!G115</f>
        <v>2</v>
      </c>
      <c r="H28" s="33">
        <f>base!H115</f>
        <v>4.1666666666666664E-2</v>
      </c>
      <c r="I28" s="17" t="str">
        <f>base!I115</f>
        <v>-</v>
      </c>
      <c r="J28" s="17" t="str">
        <f>base!J115</f>
        <v>-</v>
      </c>
      <c r="K28" s="17" t="str">
        <f>base!K115</f>
        <v>Exclui OPME</v>
      </c>
      <c r="L28" s="47">
        <f>base!L115</f>
        <v>8586</v>
      </c>
      <c r="M28" s="48">
        <f>base!M115</f>
        <v>6010.2</v>
      </c>
      <c r="N28" s="48">
        <f>base!N115</f>
        <v>550</v>
      </c>
    </row>
    <row r="29" spans="2:14" ht="62.25" customHeight="1">
      <c r="B29" s="17">
        <f>base!B116</f>
        <v>31201130</v>
      </c>
      <c r="C29" s="17">
        <f>base!C84</f>
        <v>51030179</v>
      </c>
      <c r="D29" s="17" t="str">
        <f>base!D116</f>
        <v>UROLOGIA</v>
      </c>
      <c r="E29" s="17" t="str">
        <f>base!E116</f>
        <v>RTU de Próstata</v>
      </c>
      <c r="F29" s="17" t="str">
        <f>base!F116</f>
        <v>Qualquer Tipo</v>
      </c>
      <c r="G29" s="17">
        <f>base!G116</f>
        <v>2</v>
      </c>
      <c r="H29" s="33">
        <f>base!H116</f>
        <v>8.3333333333333329E-2</v>
      </c>
      <c r="I29" s="17" t="str">
        <f>base!I116</f>
        <v>-</v>
      </c>
      <c r="J29" s="17" t="str">
        <f>base!J116</f>
        <v>-</v>
      </c>
      <c r="K29" s="17" t="str">
        <f>base!K116</f>
        <v>Exclui OPME</v>
      </c>
      <c r="L29" s="47">
        <f>base!L116</f>
        <v>8586</v>
      </c>
      <c r="M29" s="48">
        <f>base!M116</f>
        <v>6010.2</v>
      </c>
      <c r="N29" s="48">
        <f>base!N116</f>
        <v>550</v>
      </c>
    </row>
    <row r="30" spans="2:14" ht="35.1" customHeight="1">
      <c r="B30" s="17">
        <f>base!B117</f>
        <v>31201130</v>
      </c>
      <c r="C30" s="17" t="str">
        <f>base!C85</f>
        <v>51030179 / 51050021</v>
      </c>
      <c r="D30" s="17" t="str">
        <f>base!D117</f>
        <v>UROLOGIA</v>
      </c>
      <c r="E30" s="17" t="str">
        <f>base!E117</f>
        <v>RTU de Próstata</v>
      </c>
      <c r="F30" s="17" t="str">
        <f>base!F117</f>
        <v>Qualquer Tipo</v>
      </c>
      <c r="G30" s="17">
        <f>base!G117</f>
        <v>3</v>
      </c>
      <c r="H30" s="33">
        <f>base!H117</f>
        <v>8.3333333333333329E-2</v>
      </c>
      <c r="I30" s="17" t="str">
        <f>base!I117</f>
        <v>-</v>
      </c>
      <c r="J30" s="17" t="str">
        <f>base!J117</f>
        <v>-</v>
      </c>
      <c r="K30" s="17" t="str">
        <f>base!K117</f>
        <v>Exclui OPME</v>
      </c>
      <c r="L30" s="47">
        <f>base!L117</f>
        <v>9730.8000000000011</v>
      </c>
      <c r="M30" s="48">
        <f>base!M117</f>
        <v>6811.56</v>
      </c>
      <c r="N30" s="48">
        <f>base!N117</f>
        <v>550</v>
      </c>
    </row>
    <row r="31" spans="2:14" ht="35.1" customHeight="1">
      <c r="B31" s="17">
        <f>base!B118</f>
        <v>31102360</v>
      </c>
      <c r="C31" s="17" t="str">
        <f>base!C86</f>
        <v>51030179 / 30502322</v>
      </c>
      <c r="D31" s="17" t="str">
        <f>base!D118</f>
        <v>UROLOGIA</v>
      </c>
      <c r="E31" s="17" t="str">
        <f>base!E118</f>
        <v>Ureterorrenolitotripsia Flexível Unilateral</v>
      </c>
      <c r="F31" s="17" t="str">
        <f>base!F118</f>
        <v>Qualquer Tipo</v>
      </c>
      <c r="G31" s="17">
        <f>base!G118</f>
        <v>1</v>
      </c>
      <c r="H31" s="33">
        <f>base!H118</f>
        <v>8.3333333333333329E-2</v>
      </c>
      <c r="I31" s="17" t="str">
        <f>base!I118</f>
        <v>01 bainha Flexivel, 01 bomba de irrigação, 01 dornia, 01 duplo J, 01 Fibra reprocessada e 02 fios guia (Boston ou Cook)</v>
      </c>
      <c r="J31" s="17" t="str">
        <f>base!J118</f>
        <v>Boston OU Cook  Allent OU Handle</v>
      </c>
      <c r="K31" s="17" t="str">
        <f>base!K118</f>
        <v>Exclui Fibra Descartável</v>
      </c>
      <c r="L31" s="47">
        <f>base!L118</f>
        <v>15454.800000000001</v>
      </c>
      <c r="M31" s="48">
        <f>base!M118</f>
        <v>12363.840000000002</v>
      </c>
      <c r="N31" s="48" t="str">
        <f>base!N118</f>
        <v>-</v>
      </c>
    </row>
    <row r="32" spans="2:14" ht="35.1" customHeight="1">
      <c r="B32" s="17">
        <f>base!B119</f>
        <v>31102379</v>
      </c>
      <c r="C32" s="17" t="str">
        <f>base!C87</f>
        <v>51030179 / 51030209</v>
      </c>
      <c r="D32" s="17" t="str">
        <f>base!D119</f>
        <v>UROLOGIA</v>
      </c>
      <c r="E32" s="17" t="str">
        <f>base!E119</f>
        <v>Ureterorrenolitotripsia Rígida Unilateral</v>
      </c>
      <c r="F32" s="17" t="str">
        <f>base!F119</f>
        <v>Qualquer Tipo</v>
      </c>
      <c r="G32" s="17">
        <f>base!G119</f>
        <v>1</v>
      </c>
      <c r="H32" s="33">
        <f>base!H119</f>
        <v>8.3333333333333329E-2</v>
      </c>
      <c r="I32" s="17" t="str">
        <f>base!I119</f>
        <v>01 dornia, 01 duplo J, 01 Fibra reprocessada e 02 fios guia (Boston ou Cook)</v>
      </c>
      <c r="J32" s="17" t="str">
        <f>base!J119</f>
        <v>Boston OU Cook  Allent OU Handle</v>
      </c>
      <c r="K32" s="17" t="str">
        <f>base!K119</f>
        <v>Exclui Fibra Descartável</v>
      </c>
      <c r="L32" s="47">
        <f>base!L119</f>
        <v>14081.04</v>
      </c>
      <c r="M32" s="48">
        <f>base!M119</f>
        <v>11264.832000000002</v>
      </c>
      <c r="N32" s="48" t="str">
        <f>base!N119</f>
        <v>-</v>
      </c>
    </row>
    <row r="33" spans="2:14" ht="35.1" customHeight="1">
      <c r="B33" s="17">
        <f>base!B120</f>
        <v>31104223</v>
      </c>
      <c r="C33" s="17" t="str">
        <f>base!C88</f>
        <v>51030179 / 51030209 / 30502322</v>
      </c>
      <c r="D33" s="17" t="str">
        <f>base!D120</f>
        <v>UROLOGIA</v>
      </c>
      <c r="E33" s="17" t="str">
        <f>base!E120</f>
        <v>Uretrotomia Interna</v>
      </c>
      <c r="F33" s="17" t="str">
        <f>base!F120</f>
        <v>Qualquer Tipo</v>
      </c>
      <c r="G33" s="17">
        <f>base!G120</f>
        <v>1</v>
      </c>
      <c r="H33" s="33">
        <f>base!H120</f>
        <v>4.1666666666666664E-2</v>
      </c>
      <c r="I33" s="17" t="str">
        <f>base!I120</f>
        <v>-</v>
      </c>
      <c r="J33" s="17" t="str">
        <f>base!J120</f>
        <v>-</v>
      </c>
      <c r="K33" s="17" t="str">
        <f>base!K120</f>
        <v>Exclui OPME</v>
      </c>
      <c r="L33" s="47">
        <f>base!L120</f>
        <v>5495.04</v>
      </c>
      <c r="M33" s="48">
        <f>base!M120</f>
        <v>3846.5279999999998</v>
      </c>
      <c r="N33" s="48" t="str">
        <f>base!N120</f>
        <v>-</v>
      </c>
    </row>
    <row r="34" spans="2:14" ht="35.1" customHeight="1">
      <c r="B34" s="17">
        <f>base!B121</f>
        <v>31203124</v>
      </c>
      <c r="C34" s="17">
        <f>base!C89</f>
        <v>30502322</v>
      </c>
      <c r="D34" s="17" t="str">
        <f>base!D121</f>
        <v>UROLOGIA</v>
      </c>
      <c r="E34" s="17" t="str">
        <f>base!E121</f>
        <v>Varicocele Unilateral - Correção Cirúrgica</v>
      </c>
      <c r="F34" s="17" t="str">
        <f>base!F121</f>
        <v>Qualquer Tipo</v>
      </c>
      <c r="G34" s="17" t="str">
        <f>base!G121</f>
        <v>Day</v>
      </c>
      <c r="H34" s="33">
        <f>base!H121</f>
        <v>8.3333333333333329E-2</v>
      </c>
      <c r="I34" s="17" t="str">
        <f>base!I121</f>
        <v>-</v>
      </c>
      <c r="J34" s="17" t="str">
        <f>base!J121</f>
        <v>-</v>
      </c>
      <c r="K34" s="17" t="str">
        <f>base!K121</f>
        <v>Exclui OPME</v>
      </c>
      <c r="L34" s="47">
        <f>base!L121</f>
        <v>4579.2000000000007</v>
      </c>
      <c r="M34" s="48">
        <f>base!M121</f>
        <v>3205.4400000000005</v>
      </c>
      <c r="N34" s="48">
        <f>base!N121</f>
        <v>390</v>
      </c>
    </row>
    <row r="35" spans="2:14" ht="29.25" customHeight="1">
      <c r="B35" s="17">
        <f>base!B122</f>
        <v>31205046</v>
      </c>
      <c r="C35" s="17">
        <f>base!C90</f>
        <v>51020220</v>
      </c>
      <c r="D35" s="17" t="str">
        <f>base!D122</f>
        <v>UROLOGIA</v>
      </c>
      <c r="E35" s="17" t="str">
        <f>base!E122</f>
        <v>Vasectomia</v>
      </c>
      <c r="F35" s="17" t="str">
        <f>base!F122</f>
        <v>Local</v>
      </c>
      <c r="G35" s="17" t="str">
        <f>base!G122</f>
        <v>AMBULATORIAL
(setor sem diária)</v>
      </c>
      <c r="H35" s="33">
        <f>base!H122</f>
        <v>4.1666666666666664E-2</v>
      </c>
      <c r="I35" s="17" t="str">
        <f>base!I122</f>
        <v>-</v>
      </c>
      <c r="J35" s="17" t="str">
        <f>base!J122</f>
        <v>-</v>
      </c>
      <c r="K35" s="17" t="str">
        <f>base!K122</f>
        <v>Exclui OPME</v>
      </c>
      <c r="L35" s="47">
        <f>base!L122</f>
        <v>900</v>
      </c>
      <c r="M35" s="48">
        <f>base!M122</f>
        <v>630</v>
      </c>
      <c r="N35" s="48">
        <f>base!N122</f>
        <v>550</v>
      </c>
    </row>
    <row r="36" spans="2:14" ht="33" customHeight="1">
      <c r="B36" s="17">
        <f>base!B123</f>
        <v>31205046</v>
      </c>
      <c r="C36" s="17">
        <f>base!C91</f>
        <v>51030209</v>
      </c>
      <c r="D36" s="17" t="str">
        <f>base!D123</f>
        <v>UROLOGIA</v>
      </c>
      <c r="E36" s="17" t="str">
        <f>base!E123</f>
        <v>Vasectomia</v>
      </c>
      <c r="F36" s="17" t="str">
        <f>base!F123</f>
        <v>Sedação</v>
      </c>
      <c r="G36" s="17" t="str">
        <f>base!G123</f>
        <v>AMBULATORIAL
(setor sem diária)</v>
      </c>
      <c r="H36" s="33">
        <f>base!H123</f>
        <v>4.1666666666666664E-2</v>
      </c>
      <c r="I36" s="17" t="str">
        <f>base!I123</f>
        <v>-</v>
      </c>
      <c r="J36" s="17" t="str">
        <f>base!J123</f>
        <v>-</v>
      </c>
      <c r="K36" s="17" t="str">
        <f>base!K123</f>
        <v>Exclui OPME</v>
      </c>
      <c r="L36" s="47">
        <f>base!L123</f>
        <v>2250</v>
      </c>
      <c r="M36" s="48">
        <f>base!M123</f>
        <v>1575</v>
      </c>
      <c r="N36" s="48">
        <f>base!N123</f>
        <v>550</v>
      </c>
    </row>
  </sheetData>
  <sheetProtection algorithmName="SHA-512" hashValue="sPasuknZlWOGE8FyW1a5C+h3n6sDa5b6/OGfxKFhhSQ5huW4hzfqUFkVr5ONgWYsBANR/X1LTT2jeRo1VPHzgw==" saltValue="2XsXa0pcf4x48cIelrSNAg==" spinCount="100000" sheet="1" autoFilter="0"/>
  <autoFilter ref="B6:M36" xr:uid="{00000000-0009-0000-0000-00000D000000}">
    <sortState xmlns:xlrd2="http://schemas.microsoft.com/office/spreadsheetml/2017/richdata2" ref="B7:M35">
      <sortCondition ref="E6"/>
    </sortState>
  </autoFilter>
  <printOptions horizontalCentered="1"/>
  <pageMargins left="0.11811023622047245" right="0.11811023622047245" top="0.98425196850393704" bottom="0.19685039370078741" header="0.19685039370078741" footer="0.11811023622047245"/>
  <pageSetup paperSize="9" scale="85" orientation="landscape" r:id="rId1"/>
  <headerFooter>
    <oddHeader>&amp;L&amp;G&amp;C&amp;"-,Negrito"&amp;12HOSPITAL VERA CRUZ
PREÇOS PADRONIZADOS -PARTICULAR
&amp;K03+000UROLOGIA</oddHeader>
    <oddFooter>&amp;C&amp;8&amp;P /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/>
  <dimension ref="A1:I5"/>
  <sheetViews>
    <sheetView showGridLines="0" topLeftCell="A12" zoomScale="95" zoomScaleNormal="95" workbookViewId="0">
      <selection activeCell="Q21" sqref="Q21"/>
    </sheetView>
  </sheetViews>
  <sheetFormatPr defaultRowHeight="15"/>
  <cols>
    <col min="1" max="1" width="3.140625" customWidth="1"/>
    <col min="2" max="2" width="19.42578125" customWidth="1"/>
    <col min="3" max="3" width="12.28515625" customWidth="1"/>
    <col min="4" max="5" width="12.5703125" customWidth="1"/>
    <col min="6" max="6" width="12.42578125" customWidth="1"/>
    <col min="7" max="7" width="19.140625" customWidth="1"/>
    <col min="8" max="8" width="13.42578125" customWidth="1"/>
    <col min="12" max="12" width="42.140625" customWidth="1"/>
    <col min="13" max="13" width="3.42578125" customWidth="1"/>
  </cols>
  <sheetData>
    <row r="1" spans="1:9" ht="3" hidden="1" customHeight="1"/>
    <row r="2" spans="1:9" s="44" customFormat="1" ht="27.75" customHeight="1">
      <c r="A2" s="10"/>
      <c r="B2" s="11"/>
      <c r="C2" s="10"/>
      <c r="D2" s="10"/>
      <c r="E2" s="10"/>
      <c r="F2" s="10"/>
      <c r="G2" s="10"/>
      <c r="H2" s="10"/>
      <c r="I2" s="10"/>
    </row>
    <row r="3" spans="1:9" ht="14.45">
      <c r="A3" s="10"/>
      <c r="B3" s="10"/>
      <c r="C3" s="10"/>
      <c r="D3" s="10"/>
      <c r="E3" s="10"/>
      <c r="F3" s="10"/>
      <c r="G3" s="10"/>
      <c r="H3" s="10"/>
      <c r="I3" s="10"/>
    </row>
    <row r="4" spans="1:9" ht="14.45">
      <c r="A4" s="10"/>
      <c r="B4" s="10"/>
      <c r="C4" s="10"/>
      <c r="D4" s="10"/>
      <c r="E4" s="10"/>
      <c r="F4" s="10"/>
      <c r="G4" s="10"/>
      <c r="H4" s="10"/>
      <c r="I4" s="10"/>
    </row>
    <row r="5" spans="1:9" ht="30" customHeight="1">
      <c r="A5" s="10"/>
      <c r="B5" s="10"/>
      <c r="C5" s="10"/>
      <c r="D5" s="10"/>
      <c r="E5" s="10"/>
      <c r="F5" s="10"/>
      <c r="G5" s="10"/>
      <c r="H5" s="10"/>
      <c r="I5" s="10"/>
    </row>
  </sheetData>
  <sheetProtection algorithmName="SHA-512" hashValue="Zmrptbj/w0CZPD2bOFcPgSouxj+7Zl6SyLU81GNFNaYFX27chpYBABB6R1ZvB40zARTgBB84BXzWOWVLVMZ7pw==" saltValue="UUMlUVjtrvFlDov8FhDE4Q==" spinCount="100000" sheet="1" objects="1" scenarios="1"/>
  <printOptions horizontalCentered="1"/>
  <pageMargins left="0.11811023622047245" right="0.11811023622047245" top="0.78740157480314965" bottom="0.19685039370078741" header="0.11811023622047245" footer="0.11811023622047245"/>
  <pageSetup paperSize="9" scale="80" orientation="landscape" r:id="rId1"/>
  <headerFooter>
    <oddHeader xml:space="preserve">&amp;L&amp;G&amp;C&amp;"-,Negrito"&amp;12HOSPITAL VERA CRUZ
PREÇOS PADRONIZADOS -PARTICULAR
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/>
  <dimension ref="A2:M12"/>
  <sheetViews>
    <sheetView showGridLines="0" topLeftCell="B1" zoomScaleNormal="100" workbookViewId="0">
      <selection activeCell="H12" sqref="H12"/>
    </sheetView>
  </sheetViews>
  <sheetFormatPr defaultColWidth="9.140625" defaultRowHeight="12.75"/>
  <cols>
    <col min="1" max="1" width="15" style="1" customWidth="1"/>
    <col min="2" max="2" width="21.28515625" style="1" customWidth="1"/>
    <col min="3" max="3" width="9" style="1" customWidth="1"/>
    <col min="4" max="4" width="11.5703125" style="1" customWidth="1"/>
    <col min="5" max="5" width="25.7109375" style="1" customWidth="1"/>
    <col min="6" max="6" width="10.140625" style="1" customWidth="1"/>
    <col min="7" max="7" width="27.28515625" style="1" bestFit="1" customWidth="1"/>
    <col min="8" max="8" width="7.85546875" style="8" customWidth="1"/>
    <col min="9" max="9" width="18.42578125" style="1" customWidth="1"/>
    <col min="10" max="10" width="20.7109375" style="1" customWidth="1"/>
    <col min="11" max="11" width="11.42578125" style="6" bestFit="1" customWidth="1"/>
    <col min="12" max="12" width="12.85546875" style="1" bestFit="1" customWidth="1"/>
    <col min="13" max="13" width="16.7109375" style="1" customWidth="1"/>
    <col min="14" max="16384" width="9.140625" style="1"/>
  </cols>
  <sheetData>
    <row r="2" spans="1:13" customFormat="1" ht="15">
      <c r="A2" s="10"/>
      <c r="B2" s="10"/>
      <c r="C2" s="10"/>
      <c r="D2" s="10"/>
      <c r="E2" s="10"/>
      <c r="F2" s="10"/>
      <c r="G2" s="10"/>
      <c r="H2" s="10"/>
      <c r="I2" s="10"/>
    </row>
    <row r="3" spans="1:13" customFormat="1" ht="15">
      <c r="A3" s="10"/>
      <c r="B3" s="10"/>
      <c r="C3" s="10"/>
      <c r="D3" s="10"/>
      <c r="E3" s="10"/>
      <c r="F3" s="10"/>
      <c r="G3" s="10"/>
      <c r="H3" s="10"/>
      <c r="I3" s="10"/>
    </row>
    <row r="4" spans="1:13" customFormat="1" ht="30" customHeight="1">
      <c r="A4" s="10"/>
      <c r="B4" s="10"/>
      <c r="C4" s="10"/>
      <c r="D4" s="10"/>
      <c r="E4" s="10"/>
      <c r="F4" s="10"/>
      <c r="G4" s="10"/>
      <c r="H4" s="10"/>
      <c r="I4" s="10"/>
    </row>
    <row r="5" spans="1:13" customFormat="1" ht="15"/>
    <row r="8" spans="1:13" ht="31.5" customHeight="1">
      <c r="B8" s="43" t="str">
        <f>base!B2</f>
        <v>Código</v>
      </c>
      <c r="C8" s="43" t="str">
        <f>base!C2</f>
        <v>Código AMB</v>
      </c>
      <c r="D8" s="43" t="str">
        <f>base!D2</f>
        <v>Especialidade</v>
      </c>
      <c r="E8" s="43" t="str">
        <f>base!E2</f>
        <v>Procedimento</v>
      </c>
      <c r="F8" s="43" t="str">
        <f>base!F2</f>
        <v>Tipo de Anestesia</v>
      </c>
      <c r="G8" s="43" t="str">
        <f>base!G2</f>
        <v>Diárias</v>
      </c>
      <c r="H8" s="43" t="str">
        <f>base!H2</f>
        <v>Tempo Sala</v>
      </c>
      <c r="I8" s="43" t="str">
        <f>base!I2</f>
        <v>Itens inclusos - OPME</v>
      </c>
      <c r="J8" s="43" t="str">
        <f>base!K2</f>
        <v>Itens exclusos</v>
      </c>
      <c r="K8" s="43" t="str">
        <f>base!L2</f>
        <v>Vera Cruz Hospital</v>
      </c>
      <c r="L8" s="43" t="str">
        <f>base!M2</f>
        <v>Vera Cruz Casa Saude</v>
      </c>
      <c r="M8" s="43" t="str">
        <f>base!N2</f>
        <v>Anatomo Patologico Multipat</v>
      </c>
    </row>
    <row r="9" spans="1:13" s="14" customFormat="1" ht="30" customHeight="1">
      <c r="B9" s="16">
        <f>base!B3</f>
        <v>31602169</v>
      </c>
      <c r="C9" s="17">
        <f>base!C3</f>
        <v>16010051</v>
      </c>
      <c r="D9" s="17" t="str">
        <f>base!D3</f>
        <v>ANESTESIA</v>
      </c>
      <c r="E9" s="18" t="str">
        <f>base!E3</f>
        <v xml:space="preserve">Bloqueio Terapeutico </v>
      </c>
      <c r="F9" s="19" t="str">
        <f>base!F3</f>
        <v>Local</v>
      </c>
      <c r="G9" s="19" t="str">
        <f>base!G3</f>
        <v>AMBULATORIAL
(setor sem diária)</v>
      </c>
      <c r="H9" s="20">
        <f>base!H3</f>
        <v>4.1666666666666664E-2</v>
      </c>
      <c r="I9" s="21" t="str">
        <f>base!I3</f>
        <v>-</v>
      </c>
      <c r="J9" s="21" t="str">
        <f>base!K3</f>
        <v>Exclui OPME</v>
      </c>
      <c r="K9" s="38">
        <f>base!L3</f>
        <v>1236.3840000000002</v>
      </c>
      <c r="L9" s="39">
        <f>base!M3</f>
        <v>865.4688000000001</v>
      </c>
      <c r="M9" s="39">
        <f>base!N3</f>
        <v>0</v>
      </c>
    </row>
    <row r="10" spans="1:13" s="14" customFormat="1" ht="30" customHeight="1">
      <c r="B10" s="16">
        <f>base!B4</f>
        <v>31602169</v>
      </c>
      <c r="C10" s="17">
        <f>base!C4</f>
        <v>16010051</v>
      </c>
      <c r="D10" s="17" t="str">
        <f>base!D4</f>
        <v>ANESTESIA</v>
      </c>
      <c r="E10" s="18" t="str">
        <f>base!E4</f>
        <v xml:space="preserve">Bloqueio Terapeutico </v>
      </c>
      <c r="F10" s="19" t="str">
        <f>base!F4</f>
        <v>Sedação</v>
      </c>
      <c r="G10" s="19" t="str">
        <f>base!G4</f>
        <v>AMBULATORIAL
(setor sem diária)</v>
      </c>
      <c r="H10" s="20">
        <f>base!H4</f>
        <v>4.1666666666666664E-2</v>
      </c>
      <c r="I10" s="21" t="str">
        <f>base!I4</f>
        <v>-</v>
      </c>
      <c r="J10" s="21" t="str">
        <f>base!K4</f>
        <v>Exclui OPME</v>
      </c>
      <c r="K10" s="38">
        <f>base!L4</f>
        <v>2656.8</v>
      </c>
      <c r="L10" s="39">
        <f>base!M4</f>
        <v>1859.76</v>
      </c>
      <c r="M10" s="39">
        <f>base!N4</f>
        <v>0</v>
      </c>
    </row>
    <row r="11" spans="1:13" s="14" customFormat="1" ht="30" customHeight="1">
      <c r="B11" s="16">
        <f>base!B5</f>
        <v>31403336</v>
      </c>
      <c r="C11" s="17">
        <f>base!C5</f>
        <v>49050141</v>
      </c>
      <c r="D11" s="17" t="str">
        <f>base!D5</f>
        <v>ANESTESIA</v>
      </c>
      <c r="E11" s="18" t="str">
        <f>base!E5</f>
        <v>Rizotomia percutânea por segmento - qualquer método</v>
      </c>
      <c r="F11" s="19" t="str">
        <f>base!F5</f>
        <v>Sedação</v>
      </c>
      <c r="G11" s="19" t="str">
        <f>base!G5</f>
        <v>AMBULATORIAL
(setor sem diária)</v>
      </c>
      <c r="H11" s="20">
        <f>base!H5</f>
        <v>8.3333333333333329E-2</v>
      </c>
      <c r="I11" s="21" t="str">
        <f>base!I5</f>
        <v>-</v>
      </c>
      <c r="J11" s="21" t="str">
        <f>base!K5</f>
        <v>Exclui OPME</v>
      </c>
      <c r="K11" s="38">
        <f>base!L5</f>
        <v>3434.4</v>
      </c>
      <c r="L11" s="39">
        <f>base!M5</f>
        <v>2404.08</v>
      </c>
      <c r="M11" s="39">
        <f>base!N5</f>
        <v>0</v>
      </c>
    </row>
    <row r="12" spans="1:13" s="14" customFormat="1" ht="30" customHeight="1">
      <c r="B12" s="16">
        <f>base!B6</f>
        <v>31403336</v>
      </c>
      <c r="C12" s="17">
        <f>base!C6</f>
        <v>49050141</v>
      </c>
      <c r="D12" s="17" t="str">
        <f>base!D6</f>
        <v>ANESTESIA</v>
      </c>
      <c r="E12" s="18" t="str">
        <f>base!E6</f>
        <v>Rizotomia percutânea por segmento - qualquer método</v>
      </c>
      <c r="F12" s="19" t="str">
        <f>base!F6</f>
        <v>Sedação</v>
      </c>
      <c r="G12" s="19" t="str">
        <f>base!G6</f>
        <v>Day</v>
      </c>
      <c r="H12" s="20">
        <f>base!H6</f>
        <v>8.3333333333333329E-2</v>
      </c>
      <c r="I12" s="21" t="str">
        <f>base!I6</f>
        <v>-</v>
      </c>
      <c r="J12" s="21" t="str">
        <f>base!K6</f>
        <v>Exclui OPME</v>
      </c>
      <c r="K12" s="38">
        <f>base!L6</f>
        <v>5724</v>
      </c>
      <c r="L12" s="39">
        <f>base!M6</f>
        <v>4006.7999999999997</v>
      </c>
      <c r="M12" s="39">
        <f>base!N6</f>
        <v>0</v>
      </c>
    </row>
  </sheetData>
  <sheetProtection algorithmName="SHA-512" hashValue="gGOiXzXnAjtPTtF6veOJkbaESxn82oS4aGW9iZMUFBSYSbGxxUGgGHPFTBhkozdTj1lhTOrL0A00pEw60YmryA==" saltValue="bzewKhKZqnQOEfJShdp+cw==" spinCount="100000" sheet="1" objects="1" scenarios="1"/>
  <printOptions horizontalCentered="1"/>
  <pageMargins left="0.11811023622047245" right="0.11811023622047245" top="0.98425196850393704" bottom="0.78740157480314965" header="0.19685039370078741" footer="0.31496062992125984"/>
  <pageSetup paperSize="9" scale="90" orientation="landscape" verticalDpi="0" r:id="rId1"/>
  <headerFooter>
    <oddHeader xml:space="preserve">&amp;L&amp;G&amp;C&amp;"-,Negrito"&amp;12HOSPITAL VERA CRUZ
PREÇOS PADRONIZADOS -PARTICULAR
&amp;K03+000ANESTESIA&amp;K01+000
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"/>
  <dimension ref="A2:M17"/>
  <sheetViews>
    <sheetView showGridLines="0" zoomScaleNormal="100" workbookViewId="0">
      <selection activeCell="Q10" sqref="Q10"/>
    </sheetView>
  </sheetViews>
  <sheetFormatPr defaultRowHeight="15"/>
  <cols>
    <col min="2" max="2" width="9" bestFit="1" customWidth="1"/>
    <col min="3" max="3" width="9" customWidth="1"/>
    <col min="4" max="4" width="11.85546875" bestFit="1" customWidth="1"/>
    <col min="5" max="5" width="48.7109375" style="9" bestFit="1" customWidth="1"/>
    <col min="6" max="6" width="8.5703125" bestFit="1" customWidth="1"/>
    <col min="7" max="7" width="9" bestFit="1" customWidth="1"/>
    <col min="8" max="8" width="7.85546875" style="5" bestFit="1" customWidth="1"/>
    <col min="9" max="9" width="20.7109375" customWidth="1"/>
    <col min="10" max="10" width="15.7109375" customWidth="1"/>
    <col min="11" max="11" width="11.42578125" style="4" bestFit="1" customWidth="1"/>
    <col min="12" max="13" width="14" bestFit="1" customWidth="1"/>
  </cols>
  <sheetData>
    <row r="2" spans="1:13" ht="25.5">
      <c r="A2" s="10"/>
      <c r="B2" s="11"/>
      <c r="C2" s="10"/>
      <c r="D2" s="10"/>
      <c r="E2" s="10"/>
      <c r="F2" s="10"/>
      <c r="G2" s="10"/>
      <c r="H2" s="10"/>
      <c r="I2" s="10"/>
      <c r="K2"/>
    </row>
    <row r="3" spans="1:13">
      <c r="A3" s="10"/>
      <c r="B3" s="10"/>
      <c r="C3" s="10"/>
      <c r="D3" s="10"/>
      <c r="E3" s="10"/>
      <c r="F3" s="10"/>
      <c r="G3" s="10"/>
      <c r="H3" s="10"/>
      <c r="I3" s="10"/>
      <c r="K3"/>
    </row>
    <row r="4" spans="1:13">
      <c r="A4" s="10"/>
      <c r="B4" s="10"/>
      <c r="C4" s="10"/>
      <c r="D4" s="10"/>
      <c r="E4" s="10"/>
      <c r="F4" s="10"/>
      <c r="G4" s="10"/>
      <c r="H4" s="10"/>
      <c r="I4" s="10"/>
      <c r="K4"/>
    </row>
    <row r="5" spans="1:13" ht="30" customHeight="1">
      <c r="A5" s="10"/>
      <c r="B5" s="10"/>
      <c r="C5" s="10"/>
      <c r="D5" s="10"/>
      <c r="E5" s="10"/>
      <c r="F5" s="10"/>
      <c r="G5" s="10"/>
      <c r="H5" s="10"/>
      <c r="I5" s="10"/>
      <c r="K5"/>
    </row>
    <row r="6" spans="1:13">
      <c r="E6"/>
      <c r="H6"/>
      <c r="K6"/>
    </row>
    <row r="8" spans="1:13" s="1" customFormat="1" ht="38.25">
      <c r="B8" s="43" t="str">
        <f>base!B2</f>
        <v>Código</v>
      </c>
      <c r="C8" s="43" t="str">
        <f>base!C2</f>
        <v>Código AMB</v>
      </c>
      <c r="D8" s="43" t="str">
        <f>base!D2</f>
        <v>Especialidade</v>
      </c>
      <c r="E8" s="43" t="str">
        <f>base!E2</f>
        <v>Procedimento</v>
      </c>
      <c r="F8" s="43" t="str">
        <f>base!F2</f>
        <v>Tipo de Anestesia</v>
      </c>
      <c r="G8" s="43" t="str">
        <f>base!G2</f>
        <v>Diárias</v>
      </c>
      <c r="H8" s="43" t="str">
        <f>base!H2</f>
        <v>Tempo Sala</v>
      </c>
      <c r="I8" s="43" t="str">
        <f>base!I2</f>
        <v>Itens inclusos - OPME</v>
      </c>
      <c r="J8" s="43" t="str">
        <f>base!K2</f>
        <v>Itens exclusos</v>
      </c>
      <c r="K8" s="43" t="str">
        <f>base!L2</f>
        <v>Vera Cruz Hospital</v>
      </c>
      <c r="L8" s="43" t="str">
        <f>base!M2</f>
        <v>Vera Cruz Casa Saude</v>
      </c>
      <c r="M8" s="43" t="str">
        <f>base!N2</f>
        <v>Anatomo Patologico Multipat</v>
      </c>
    </row>
    <row r="9" spans="1:13" s="14" customFormat="1" ht="30" customHeight="1">
      <c r="B9" s="16">
        <f>base!B7</f>
        <v>30208050</v>
      </c>
      <c r="C9" s="17">
        <f>base!C7</f>
        <v>54160057</v>
      </c>
      <c r="D9" s="17" t="str">
        <f>base!D7</f>
        <v>BUCOMAXILO</v>
      </c>
      <c r="E9" s="18" t="str">
        <f>base!E7</f>
        <v xml:space="preserve">Osteotomia Tipo Lefort I - Avanço Maxilar </v>
      </c>
      <c r="F9" s="19" t="str">
        <f>base!F7</f>
        <v>Geral</v>
      </c>
      <c r="G9" s="19">
        <f>base!G7</f>
        <v>1</v>
      </c>
      <c r="H9" s="20">
        <f>base!H7</f>
        <v>0.125</v>
      </c>
      <c r="I9" s="21" t="str">
        <f>base!I7</f>
        <v>-</v>
      </c>
      <c r="J9" s="21" t="str">
        <f>base!K7</f>
        <v>Exclui OPME</v>
      </c>
      <c r="K9" s="38">
        <f>base!L7</f>
        <v>6724</v>
      </c>
      <c r="L9" s="22">
        <f>base!M7</f>
        <v>4706.7999999999993</v>
      </c>
      <c r="M9" s="22">
        <f>base!N7</f>
        <v>0</v>
      </c>
    </row>
    <row r="10" spans="1:13" s="14" customFormat="1" ht="30" customHeight="1">
      <c r="B10" s="16">
        <f>base!B8</f>
        <v>30208106</v>
      </c>
      <c r="C10" s="17">
        <f>base!C8</f>
        <v>54160103</v>
      </c>
      <c r="D10" s="17" t="str">
        <f>base!D8</f>
        <v>BUCOMAXILO</v>
      </c>
      <c r="E10" s="18" t="str">
        <f>base!E8</f>
        <v>Reconstrução Total de Maxila com Enxerto Osseo Autogeno</v>
      </c>
      <c r="F10" s="19" t="str">
        <f>base!F8</f>
        <v>Geral</v>
      </c>
      <c r="G10" s="19">
        <f>base!G8</f>
        <v>1</v>
      </c>
      <c r="H10" s="20">
        <f>base!H8</f>
        <v>0.16666666666666666</v>
      </c>
      <c r="I10" s="21" t="str">
        <f>base!I8</f>
        <v>-</v>
      </c>
      <c r="J10" s="21" t="str">
        <f>base!K8</f>
        <v>Exclui OPME</v>
      </c>
      <c r="K10" s="38">
        <f>base!L8</f>
        <v>7924</v>
      </c>
      <c r="L10" s="22">
        <f>base!M8</f>
        <v>5546.7999999999993</v>
      </c>
      <c r="M10" s="22">
        <f>base!N8</f>
        <v>0</v>
      </c>
    </row>
    <row r="17" spans="9:9">
      <c r="I17" s="40"/>
    </row>
  </sheetData>
  <sheetProtection algorithmName="SHA-512" hashValue="fEusGkqAlR3PqCyDO0xx8DNUBc70tF0qRlj81Xbkc7JW9oDlvsem50YwEMRvyJJ1FPGPkA6QHzyERVnKq9OLEQ==" saltValue="SfCzphunCXAKmUGo8e9nGw==" spinCount="100000" sheet="1" objects="1" scenarios="1"/>
  <printOptions horizontalCentered="1"/>
  <pageMargins left="0.19685039370078741" right="0.11811023622047245" top="0.98425196850393704" bottom="0.78740157480314965" header="0.19685039370078741" footer="0.31496062992125984"/>
  <pageSetup paperSize="9" scale="85" orientation="landscape" verticalDpi="0" r:id="rId1"/>
  <headerFooter>
    <oddHeader>&amp;L&amp;G&amp;C&amp;"-,Negrito"&amp;12HOSPITAL VERA CRUZ
PREÇOS PADRONIZADOS -PARTICULAR
&amp;K03+000BUCOMAXILO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14"/>
  <dimension ref="A1:M14"/>
  <sheetViews>
    <sheetView showGridLines="0" topLeftCell="C1" workbookViewId="0">
      <selection activeCell="R13" sqref="R13"/>
    </sheetView>
  </sheetViews>
  <sheetFormatPr defaultRowHeight="15"/>
  <cols>
    <col min="3" max="3" width="9.140625" customWidth="1"/>
    <col min="4" max="4" width="15.85546875" customWidth="1"/>
    <col min="5" max="5" width="33.140625" style="9" customWidth="1"/>
    <col min="7" max="7" width="16.140625" customWidth="1"/>
    <col min="8" max="8" width="9.140625" style="5"/>
    <col min="9" max="9" width="27.140625" customWidth="1"/>
    <col min="10" max="11" width="20.7109375" customWidth="1"/>
    <col min="12" max="12" width="12.42578125" bestFit="1" customWidth="1"/>
    <col min="13" max="13" width="14" style="46" bestFit="1" customWidth="1"/>
  </cols>
  <sheetData>
    <row r="1" spans="1:13">
      <c r="K1" s="4"/>
    </row>
    <row r="2" spans="1:13" ht="25.5">
      <c r="A2" s="10"/>
      <c r="B2" s="11"/>
      <c r="C2" s="10"/>
      <c r="D2" s="10"/>
      <c r="E2" s="10"/>
      <c r="F2" s="10"/>
      <c r="G2" s="10"/>
      <c r="H2" s="10"/>
      <c r="I2" s="10"/>
    </row>
    <row r="3" spans="1:13">
      <c r="A3" s="10"/>
      <c r="B3" s="10"/>
      <c r="C3" s="10"/>
      <c r="D3" s="10"/>
      <c r="E3" s="10"/>
      <c r="F3" s="10"/>
      <c r="G3" s="10"/>
      <c r="H3" s="10"/>
      <c r="I3" s="10"/>
    </row>
    <row r="4" spans="1:13">
      <c r="A4" s="10"/>
      <c r="B4" s="10"/>
      <c r="C4" s="10"/>
      <c r="D4" s="10"/>
      <c r="E4" s="10"/>
      <c r="F4" s="10"/>
      <c r="G4" s="10"/>
      <c r="H4" s="10"/>
      <c r="I4" s="10"/>
    </row>
    <row r="5" spans="1:13" ht="30" customHeight="1">
      <c r="A5" s="10"/>
      <c r="B5" s="10"/>
      <c r="C5" s="10"/>
      <c r="D5" s="10"/>
      <c r="E5" s="10"/>
      <c r="F5" s="10"/>
      <c r="G5" s="10"/>
      <c r="H5" s="10"/>
      <c r="I5" s="10"/>
    </row>
    <row r="6" spans="1:13">
      <c r="E6"/>
      <c r="H6"/>
    </row>
    <row r="8" spans="1:13" s="1" customFormat="1" ht="39" customHeight="1">
      <c r="B8" s="43" t="str">
        <f>base!B2</f>
        <v>Código</v>
      </c>
      <c r="C8" s="43" t="str">
        <f>base!C2</f>
        <v>Código AMB</v>
      </c>
      <c r="D8" s="43" t="str">
        <f>base!D2</f>
        <v>Especialidade</v>
      </c>
      <c r="E8" s="43" t="str">
        <f>base!E2</f>
        <v>Procedimento</v>
      </c>
      <c r="F8" s="43" t="str">
        <f>base!F2</f>
        <v>Tipo de Anestesia</v>
      </c>
      <c r="G8" s="43" t="str">
        <f>base!G2</f>
        <v>Diárias</v>
      </c>
      <c r="H8" s="43" t="str">
        <f>base!H2</f>
        <v>Tempo Sala</v>
      </c>
      <c r="I8" s="43" t="str">
        <f>base!I2</f>
        <v>Itens inclusos - OPME</v>
      </c>
      <c r="J8" s="43" t="str">
        <f>base!J2</f>
        <v>Fornecedor Homologado - itens inclusos</v>
      </c>
      <c r="K8" s="43" t="str">
        <f>base!K2</f>
        <v>Itens exclusos</v>
      </c>
      <c r="L8" s="43" t="str">
        <f>base!L2</f>
        <v>Vera Cruz Hospital</v>
      </c>
      <c r="M8" s="43" t="str">
        <f>base!M2</f>
        <v>Vera Cruz Casa Saude</v>
      </c>
    </row>
    <row r="9" spans="1:13" s="14" customFormat="1" ht="63" customHeight="1">
      <c r="B9" s="16">
        <f>base!B15</f>
        <v>30912032</v>
      </c>
      <c r="C9" s="17">
        <f>base!C15</f>
        <v>40090027</v>
      </c>
      <c r="D9" s="17" t="str">
        <f>base!D15</f>
        <v>CARDIOVASCULAR</v>
      </c>
      <c r="E9" s="18" t="str">
        <f>base!E15</f>
        <v>Angioplastia coronariana</v>
      </c>
      <c r="F9" s="19" t="str">
        <f>base!F15</f>
        <v>Local</v>
      </c>
      <c r="G9" s="21" t="str">
        <f>base!G15</f>
        <v>1 apto + 1 UTI</v>
      </c>
      <c r="H9" s="20">
        <f>base!H15</f>
        <v>8.3333333333333329E-2</v>
      </c>
      <c r="I9" s="21" t="str">
        <f>base!I15</f>
        <v>1 Introdutor, 2 Fios guia, 1 Incor, 1 Cateter balão, 1 dipositivo de pressão e Honorário médico do médico executor (equipe interna)</v>
      </c>
      <c r="J9" s="21" t="str">
        <f>base!J15</f>
        <v xml:space="preserve"> Boston OU Abbot  OU Terumo</v>
      </c>
      <c r="K9" s="19" t="str">
        <f>base!K15</f>
        <v>Exclui Stent</v>
      </c>
      <c r="L9" s="39">
        <f>base!L15</f>
        <v>16027.2</v>
      </c>
      <c r="M9" s="19" t="str">
        <f>base!M15</f>
        <v>não disponivel</v>
      </c>
    </row>
    <row r="10" spans="1:13" s="14" customFormat="1" ht="57.75" customHeight="1">
      <c r="B10" s="16">
        <f>base!B16</f>
        <v>30911028</v>
      </c>
      <c r="C10" s="17" t="str">
        <f>base!C16</f>
        <v>-</v>
      </c>
      <c r="D10" s="17" t="str">
        <f>base!D16</f>
        <v>CARDIOVASCULAR</v>
      </c>
      <c r="E10" s="60" t="str">
        <f>base!E16</f>
        <v>Avaliação fisiológica da gravidade de obstruções (cateter ou guia)</v>
      </c>
      <c r="F10" s="19" t="str">
        <f>base!F16</f>
        <v>Local</v>
      </c>
      <c r="G10" s="21" t="str">
        <f>base!G16</f>
        <v>AMBULATORIAL
(setor sem diária)</v>
      </c>
      <c r="H10" s="20">
        <f>base!H16</f>
        <v>8.3333333333333329E-2</v>
      </c>
      <c r="I10" s="21" t="str">
        <f>base!I16</f>
        <v>01 Fio Guia, 01 Pressure wire, 01 introdutor e Honorário médico do médico executor (equipe interna)</v>
      </c>
      <c r="J10" s="21" t="str">
        <f>base!J16</f>
        <v>Fio Guia e introdutor:  Boston OU Abbot ou Terumo  / Pressure:  Vitoria Hospitalar</v>
      </c>
      <c r="K10" s="19" t="str">
        <f>base!K16</f>
        <v>-</v>
      </c>
      <c r="L10" s="39">
        <f>base!L16</f>
        <v>9158.4000000000015</v>
      </c>
      <c r="M10" s="19" t="str">
        <f>base!M16</f>
        <v>não disponivel</v>
      </c>
    </row>
    <row r="11" spans="1:13" s="14" customFormat="1" ht="51">
      <c r="B11" s="16">
        <f>base!B17</f>
        <v>30911079</v>
      </c>
      <c r="C11" s="17">
        <f>base!C17</f>
        <v>40080200</v>
      </c>
      <c r="D11" s="17" t="str">
        <f>base!D17</f>
        <v>CARDIOVASCULAR</v>
      </c>
      <c r="E11" s="18" t="str">
        <f>base!E17</f>
        <v>Cateterismo Cardiaco</v>
      </c>
      <c r="F11" s="19" t="str">
        <f>base!F17</f>
        <v>Local</v>
      </c>
      <c r="G11" s="21" t="str">
        <f>base!G17</f>
        <v>AMBULATORIAL
(setor sem diária)</v>
      </c>
      <c r="H11" s="20">
        <f>base!H17</f>
        <v>4.1666666666666664E-2</v>
      </c>
      <c r="I11" s="21" t="str">
        <f>base!I17</f>
        <v>01 fio guia 0,035 x 150;  02 Cateter impluse, 01 introdutor e Honorário médico do médico executor (equipe interna)</v>
      </c>
      <c r="J11" s="21" t="str">
        <f>base!J17</f>
        <v xml:space="preserve"> Boston OU Abbot  OU Terumo</v>
      </c>
      <c r="K11" s="19" t="str">
        <f>base!K17</f>
        <v>-</v>
      </c>
      <c r="L11" s="39">
        <f>base!L17</f>
        <v>4006.8</v>
      </c>
      <c r="M11" s="19" t="str">
        <f>base!M17</f>
        <v>não disponivel</v>
      </c>
    </row>
    <row r="12" spans="1:13" s="14" customFormat="1" ht="76.5">
      <c r="B12" s="16">
        <f>base!B18</f>
        <v>30911141</v>
      </c>
      <c r="C12" s="17" t="str">
        <f>base!C18</f>
        <v>-</v>
      </c>
      <c r="D12" s="17" t="str">
        <f>base!D18</f>
        <v>CARDIOVASCULAR</v>
      </c>
      <c r="E12" s="18" t="str">
        <f>base!E18</f>
        <v>Estudo Ultrasonográfico Intra-Vascular</v>
      </c>
      <c r="F12" s="19" t="str">
        <f>base!F18</f>
        <v>Local</v>
      </c>
      <c r="G12" s="21" t="str">
        <f>base!G18</f>
        <v>AMBULATORIAL
(setor sem diária)</v>
      </c>
      <c r="H12" s="20">
        <f>base!H18</f>
        <v>0</v>
      </c>
      <c r="I12" s="21" t="str">
        <f>base!I18</f>
        <v>1 Cateter Atlantis 45mhz rotacional - Boston; 1 dreno de rotação; 1 fio guia; 01 cateter diagnostico; 01 introdutor e Honorário médico do médico executor (equipe interna)</v>
      </c>
      <c r="J12" s="21" t="str">
        <f>base!J18</f>
        <v>Cateter Atllantis:  Boston / Fio Guia, Cateter, introdutor Boston OU Abbot OU Terumo</v>
      </c>
      <c r="K12" s="19" t="str">
        <f>base!K18</f>
        <v>-</v>
      </c>
      <c r="L12" s="39">
        <f>base!L18</f>
        <v>10303.200000000001</v>
      </c>
      <c r="M12" s="19" t="str">
        <f>base!M18</f>
        <v>não disponivel</v>
      </c>
    </row>
    <row r="13" spans="1:13" s="14" customFormat="1" ht="12.75">
      <c r="B13" s="16">
        <f>base!B19</f>
        <v>30904137</v>
      </c>
      <c r="C13" s="17" t="str">
        <f>base!C19</f>
        <v>-</v>
      </c>
      <c r="D13" s="17" t="str">
        <f>base!D19</f>
        <v>CARDIOVASCULAR</v>
      </c>
      <c r="E13" s="18" t="str">
        <f>base!E19</f>
        <v>Implante de marca-passo bicameral</v>
      </c>
      <c r="F13" s="19" t="str">
        <f>base!F19</f>
        <v>Geral</v>
      </c>
      <c r="G13" s="21">
        <f>base!G19</f>
        <v>1</v>
      </c>
      <c r="H13" s="20">
        <f>base!H19</f>
        <v>8.3333333333333329E-2</v>
      </c>
      <c r="I13" s="21" t="str">
        <f>base!I19</f>
        <v>-</v>
      </c>
      <c r="J13" s="21" t="str">
        <f>base!J19</f>
        <v>-</v>
      </c>
      <c r="K13" s="19" t="str">
        <f>base!K19</f>
        <v>Exclui Marca-passo</v>
      </c>
      <c r="L13" s="39">
        <f>base!L19</f>
        <v>6067.4400000000005</v>
      </c>
      <c r="M13" s="19" t="str">
        <f>base!M19</f>
        <v>não disponivel</v>
      </c>
    </row>
    <row r="14" spans="1:13" s="14" customFormat="1" ht="30" customHeight="1">
      <c r="B14" s="16">
        <f>base!B20</f>
        <v>30904129</v>
      </c>
      <c r="C14" s="17">
        <f>base!C20</f>
        <v>40050033</v>
      </c>
      <c r="D14" s="17" t="str">
        <f>base!D20</f>
        <v>CARDIOVASCULAR</v>
      </c>
      <c r="E14" s="18" t="str">
        <f>base!E20</f>
        <v>Troca de Gerador</v>
      </c>
      <c r="F14" s="19" t="str">
        <f>base!F20</f>
        <v>Geral</v>
      </c>
      <c r="G14" s="21" t="str">
        <f>base!G20</f>
        <v>Day</v>
      </c>
      <c r="H14" s="20">
        <f>base!H20</f>
        <v>4.1666666666666664E-2</v>
      </c>
      <c r="I14" s="21" t="str">
        <f>base!I20</f>
        <v>-</v>
      </c>
      <c r="J14" s="21" t="str">
        <f>base!J20</f>
        <v>-</v>
      </c>
      <c r="K14" s="19" t="str">
        <f>base!K20</f>
        <v>Exclui Gerador</v>
      </c>
      <c r="L14" s="39">
        <f>base!L20</f>
        <v>4121.2800000000007</v>
      </c>
      <c r="M14" s="19" t="str">
        <f>base!M20</f>
        <v>não disponivel</v>
      </c>
    </row>
  </sheetData>
  <sheetProtection algorithmName="SHA-512" hashValue="em9pxumPLp0UCUalAl5uj9XQelk7TG3OxRGHvwDxgWZZjSY/AKMI+jsXNWH44Rx5F+VWdRqrPWFxQx2L3MJCvQ==" saltValue="mkoZ992lfRZh4koxk7awoA==" spinCount="100000" sheet="1" selectLockedCells="1" selectUnlockedCells="1"/>
  <autoFilter ref="B8:M14" xr:uid="{00000000-0009-0000-0000-000004000000}"/>
  <printOptions horizontalCentered="1"/>
  <pageMargins left="0.11811023622047245" right="0.11811023622047245" top="0.98425196850393704" bottom="0.78740157480314965" header="0.19685039370078741" footer="0.31496062992125984"/>
  <pageSetup paperSize="9" scale="85" orientation="landscape" verticalDpi="0" r:id="rId1"/>
  <headerFooter>
    <oddHeader>&amp;L&amp;G&amp;C&amp;"-,Negrito"&amp;12HOSPITAL VERA CRUZ
PREÇOS PADRONIZADOS -PARTICULAR
&amp;K03+000CARDIOVASCULAR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/>
  <dimension ref="A1:M14"/>
  <sheetViews>
    <sheetView showGridLines="0" zoomScale="90" zoomScaleNormal="90" workbookViewId="0">
      <selection activeCell="I5" sqref="I5"/>
    </sheetView>
  </sheetViews>
  <sheetFormatPr defaultRowHeight="15"/>
  <cols>
    <col min="2" max="2" width="11.7109375" customWidth="1"/>
    <col min="3" max="3" width="9" hidden="1" customWidth="1"/>
    <col min="4" max="4" width="18.7109375" customWidth="1"/>
    <col min="5" max="5" width="45.42578125" customWidth="1"/>
    <col min="6" max="6" width="8.5703125" bestFit="1" customWidth="1"/>
    <col min="7" max="7" width="6.140625" bestFit="1" customWidth="1"/>
    <col min="8" max="8" width="7.85546875" style="5" bestFit="1" customWidth="1"/>
    <col min="9" max="9" width="15.7109375" customWidth="1"/>
    <col min="10" max="10" width="22.7109375" customWidth="1"/>
    <col min="11" max="11" width="19.7109375" style="7" customWidth="1"/>
    <col min="12" max="13" width="21.140625" customWidth="1"/>
  </cols>
  <sheetData>
    <row r="1" spans="1:13">
      <c r="E1" s="9"/>
      <c r="K1" s="4"/>
    </row>
    <row r="2" spans="1:13" ht="25.5">
      <c r="A2" s="10"/>
      <c r="B2" s="11"/>
      <c r="C2" s="10"/>
      <c r="D2" s="10"/>
      <c r="E2" s="10"/>
      <c r="F2" s="10"/>
      <c r="G2" s="10"/>
      <c r="H2" s="10"/>
      <c r="I2" s="10"/>
      <c r="K2"/>
    </row>
    <row r="3" spans="1:13">
      <c r="A3" s="10"/>
      <c r="B3" s="10"/>
      <c r="C3" s="10"/>
      <c r="D3" s="10"/>
      <c r="E3" s="10"/>
      <c r="F3" s="10"/>
      <c r="G3" s="10"/>
      <c r="H3" s="10"/>
      <c r="I3" s="10"/>
      <c r="K3"/>
    </row>
    <row r="4" spans="1:13">
      <c r="A4" s="10"/>
      <c r="B4" s="10"/>
      <c r="C4" s="10"/>
      <c r="D4" s="10"/>
      <c r="E4" s="10"/>
      <c r="F4" s="10"/>
      <c r="G4" s="10"/>
      <c r="H4" s="10"/>
      <c r="I4" s="10"/>
      <c r="K4"/>
    </row>
    <row r="5" spans="1:13" ht="30" customHeight="1">
      <c r="A5" s="10"/>
      <c r="B5" s="10"/>
      <c r="C5" s="10"/>
      <c r="D5" s="10"/>
      <c r="E5" s="10"/>
      <c r="F5" s="10"/>
      <c r="G5" s="10"/>
      <c r="H5" s="10"/>
      <c r="I5" s="10"/>
      <c r="K5"/>
    </row>
    <row r="6" spans="1:13">
      <c r="E6" s="9"/>
      <c r="K6" s="4"/>
    </row>
    <row r="7" spans="1:13" s="1" customFormat="1" ht="42" customHeight="1">
      <c r="B7" s="43" t="str">
        <f>base!B2</f>
        <v>Código</v>
      </c>
      <c r="C7" s="43" t="str">
        <f>base!C2</f>
        <v>Código AMB</v>
      </c>
      <c r="D7" s="43" t="str">
        <f>base!D2</f>
        <v>Especialidade</v>
      </c>
      <c r="E7" s="43" t="str">
        <f>base!E2</f>
        <v>Procedimento</v>
      </c>
      <c r="F7" s="43" t="str">
        <f>base!F2</f>
        <v>Tipo de Anestesia</v>
      </c>
      <c r="G7" s="43" t="str">
        <f>base!G2</f>
        <v>Diárias</v>
      </c>
      <c r="H7" s="43" t="str">
        <f>base!H2</f>
        <v>Tempo Sala</v>
      </c>
      <c r="I7" s="43" t="str">
        <f>base!I2</f>
        <v>Itens inclusos - OPME</v>
      </c>
      <c r="J7" s="43" t="str">
        <f>base!K2</f>
        <v>Itens exclusos</v>
      </c>
      <c r="K7" s="43" t="str">
        <f>base!L2</f>
        <v>Vera Cruz Hospital</v>
      </c>
      <c r="L7" s="43" t="str">
        <f>base!M2</f>
        <v>Vera Cruz Casa Saude</v>
      </c>
      <c r="M7" s="43" t="str">
        <f>base!N2</f>
        <v>Anatomo Patologico Multipat</v>
      </c>
    </row>
    <row r="8" spans="1:13" ht="60" customHeight="1">
      <c r="B8" s="17" t="str">
        <f>base!B9</f>
        <v>30212057 / 30213053</v>
      </c>
      <c r="C8" s="17">
        <f>base!C9</f>
        <v>41060059</v>
      </c>
      <c r="D8" s="17" t="str">
        <f>base!D9</f>
        <v>CABEÇA E PESCOÇO</v>
      </c>
      <c r="E8" s="17" t="str">
        <f>base!E9</f>
        <v>Esvaziamento Cervical / Tireoidectomia  Total</v>
      </c>
      <c r="F8" s="17" t="str">
        <f>base!F9</f>
        <v>Geral</v>
      </c>
      <c r="G8" s="17">
        <f>base!G9</f>
        <v>2</v>
      </c>
      <c r="H8" s="33">
        <f>base!H9</f>
        <v>0.16666666666666666</v>
      </c>
      <c r="I8" s="17" t="str">
        <f>base!I9</f>
        <v>01 Dreno Blake*</v>
      </c>
      <c r="J8" s="17" t="str">
        <f>base!K9</f>
        <v>Exclui OPME,  Monitorização, hemostático e biópsia por congelação</v>
      </c>
      <c r="K8" s="47">
        <f>base!L9</f>
        <v>10417.68</v>
      </c>
      <c r="L8" s="47">
        <f>base!M9</f>
        <v>8334.1440000000002</v>
      </c>
      <c r="M8" s="47">
        <f>base!N9</f>
        <v>700</v>
      </c>
    </row>
    <row r="9" spans="1:13" ht="60" customHeight="1">
      <c r="B9" s="17" t="str">
        <f>base!B10</f>
        <v>30206227 OU 30206219</v>
      </c>
      <c r="C9" s="17" t="str">
        <f>base!C10</f>
        <v>51060078 OU 51060086</v>
      </c>
      <c r="D9" s="17" t="str">
        <f>base!D10</f>
        <v>CABEÇA E PESCOÇO</v>
      </c>
      <c r="E9" s="17" t="str">
        <f>base!E10</f>
        <v>Microcirurgia com uso de laser para ressecção de lesões  ( Laser não incluso )</v>
      </c>
      <c r="F9" s="17" t="str">
        <f>base!F10</f>
        <v>Geral</v>
      </c>
      <c r="G9" s="17">
        <f>base!G10</f>
        <v>1</v>
      </c>
      <c r="H9" s="33">
        <f>base!H10</f>
        <v>0.125</v>
      </c>
      <c r="I9" s="17" t="str">
        <f>base!I10</f>
        <v>-</v>
      </c>
      <c r="J9" s="17" t="str">
        <f>base!K10</f>
        <v>Exclu laser e afins, OPME, hemostático e anatomo</v>
      </c>
      <c r="K9" s="47">
        <f>base!L10</f>
        <v>8532</v>
      </c>
      <c r="L9" s="47">
        <f>base!M10</f>
        <v>5972.4</v>
      </c>
      <c r="M9" s="47">
        <f>base!N10</f>
        <v>550</v>
      </c>
    </row>
    <row r="10" spans="1:13" ht="60" customHeight="1">
      <c r="B10" s="17">
        <f>base!B11</f>
        <v>30212030</v>
      </c>
      <c r="C10" s="17">
        <f>base!C11</f>
        <v>41040082</v>
      </c>
      <c r="D10" s="17" t="str">
        <f>base!D11</f>
        <v>CABEÇA E PESCOÇO</v>
      </c>
      <c r="E10" s="17" t="str">
        <f>base!E11</f>
        <v>Parotidectomia com esvaziamento</v>
      </c>
      <c r="F10" s="17" t="str">
        <f>base!F11</f>
        <v>Geral</v>
      </c>
      <c r="G10" s="17">
        <f>base!G11</f>
        <v>2</v>
      </c>
      <c r="H10" s="33">
        <f>base!H11</f>
        <v>0.20833333333333334</v>
      </c>
      <c r="I10" s="17" t="str">
        <f>base!I11</f>
        <v>01 Dreno Blake*</v>
      </c>
      <c r="J10" s="17" t="str">
        <f>base!K11</f>
        <v>Exclui OPME,  Monitorização, hemostático e biópsia por congelação</v>
      </c>
      <c r="K10" s="47">
        <f>base!L11</f>
        <v>11448</v>
      </c>
      <c r="L10" s="47">
        <f>base!M11</f>
        <v>9158.4</v>
      </c>
      <c r="M10" s="47">
        <f>base!N11</f>
        <v>1450</v>
      </c>
    </row>
    <row r="11" spans="1:13" ht="60" customHeight="1">
      <c r="B11" s="17">
        <f>base!B12</f>
        <v>30204062</v>
      </c>
      <c r="C11" s="17">
        <f>base!C12</f>
        <v>41040082</v>
      </c>
      <c r="D11" s="17" t="str">
        <f>base!D12</f>
        <v>CABEÇA E PESCOÇO</v>
      </c>
      <c r="E11" s="17" t="str">
        <f>base!E12</f>
        <v>Parotidectomia total com conservação do nervo facial</v>
      </c>
      <c r="F11" s="17" t="str">
        <f>base!F12</f>
        <v>Geral</v>
      </c>
      <c r="G11" s="17">
        <f>base!G12</f>
        <v>2</v>
      </c>
      <c r="H11" s="33">
        <f>base!H12</f>
        <v>0.125</v>
      </c>
      <c r="I11" s="17" t="str">
        <f>base!I12</f>
        <v>01 Dreno Blake*</v>
      </c>
      <c r="J11" s="17" t="str">
        <f>base!K12</f>
        <v>Exclui OPME,  Monitorização, hemostático e biópsia por congelação</v>
      </c>
      <c r="K11" s="47">
        <f>base!L12</f>
        <v>9043.92</v>
      </c>
      <c r="L11" s="47">
        <f>base!M12</f>
        <v>7235.1360000000004</v>
      </c>
      <c r="M11" s="47">
        <f>base!N12</f>
        <v>550</v>
      </c>
    </row>
    <row r="12" spans="1:13" ht="62.25" customHeight="1">
      <c r="B12" s="17">
        <f>base!B13</f>
        <v>30204020</v>
      </c>
      <c r="C12" s="17">
        <f>base!C13</f>
        <v>41040031</v>
      </c>
      <c r="D12" s="17" t="str">
        <f>base!D13</f>
        <v>CABEÇA E PESCOÇO</v>
      </c>
      <c r="E12" s="17" t="str">
        <f>base!E13</f>
        <v>Ressecção de tumor de glândula sub-mandibular</v>
      </c>
      <c r="F12" s="17" t="str">
        <f>base!F13</f>
        <v>Geral</v>
      </c>
      <c r="G12" s="17">
        <f>base!G13</f>
        <v>1</v>
      </c>
      <c r="H12" s="33">
        <f>base!H13</f>
        <v>8.3333333333333329E-2</v>
      </c>
      <c r="I12" s="17" t="str">
        <f>base!I13</f>
        <v>01 Dreno Blake*</v>
      </c>
      <c r="J12" s="17" t="str">
        <f>base!K13</f>
        <v>Exclui OPME,  Monitorização, hemostático e biópsia por congelação</v>
      </c>
      <c r="K12" s="47">
        <f>base!L13</f>
        <v>8242.5600000000013</v>
      </c>
      <c r="L12" s="47">
        <f>base!M13</f>
        <v>6594.0480000000016</v>
      </c>
      <c r="M12" s="47">
        <f>base!N13</f>
        <v>550</v>
      </c>
    </row>
    <row r="13" spans="1:13" ht="62.25" customHeight="1">
      <c r="B13" s="17">
        <f>base!B14</f>
        <v>30213053</v>
      </c>
      <c r="C13" s="17" t="str">
        <f>base!D53</f>
        <v>GINECOLOGIA</v>
      </c>
      <c r="D13" s="17" t="str">
        <f>base!D14</f>
        <v>CABEÇA E PESCOÇO</v>
      </c>
      <c r="E13" s="17" t="str">
        <f>base!E14</f>
        <v>Tireoidectomia Total</v>
      </c>
      <c r="F13" s="17" t="str">
        <f>base!F14</f>
        <v>Geral</v>
      </c>
      <c r="G13" s="17">
        <f>base!G14</f>
        <v>2</v>
      </c>
      <c r="H13" s="33">
        <f>base!H14</f>
        <v>0.125</v>
      </c>
      <c r="I13" s="17" t="str">
        <f>base!I14</f>
        <v>01 Dreno Blake*</v>
      </c>
      <c r="J13" s="17" t="str">
        <f>base!K14</f>
        <v>Exclui OPME,  Monitorização, hemostático e biópsia por congelação</v>
      </c>
      <c r="K13" s="47">
        <f>base!L14</f>
        <v>9043.92</v>
      </c>
      <c r="L13" s="47">
        <f>base!M14</f>
        <v>7235.1360000000004</v>
      </c>
      <c r="M13" s="47">
        <f>base!N14</f>
        <v>700</v>
      </c>
    </row>
    <row r="14" spans="1:13">
      <c r="B14" s="12" t="s">
        <v>200</v>
      </c>
    </row>
  </sheetData>
  <sheetProtection algorithmName="SHA-512" hashValue="6x5ci3744ZVyDKf+9z9AYZotpPxtf3FSX6TMfjpl4r/nM+b3RDq/duxC2omWO+04vUzfbYkbdAOw6xYd6QjXOQ==" saltValue="LpXKJTP/FcZf+qF01qvJRQ==" spinCount="100000" sheet="1" objects="1" scenarios="1"/>
  <printOptions horizontalCentered="1"/>
  <pageMargins left="0.11811023622047245" right="0.11811023622047245" top="0.98425196850393704" bottom="0.78740157480314965" header="0.19685039370078741" footer="0.31496062992125984"/>
  <pageSetup paperSize="9" scale="85" orientation="landscape" verticalDpi="0" r:id="rId1"/>
  <headerFooter>
    <oddHeader>&amp;L&amp;G&amp;C&amp;"-,Negrito"&amp;12HOSPITAL VERA CRUZ
PREÇOS PADRONIZADOS -PARTICULAR
&amp;K03+000CIRURGIA CABEÇA E PESCOÇO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/>
  <dimension ref="A1:N28"/>
  <sheetViews>
    <sheetView showGridLines="0" topLeftCell="B18" workbookViewId="0">
      <selection activeCell="Q7" sqref="Q7"/>
    </sheetView>
  </sheetViews>
  <sheetFormatPr defaultRowHeight="15"/>
  <cols>
    <col min="2" max="2" width="10.85546875" customWidth="1"/>
    <col min="3" max="3" width="9.85546875" customWidth="1"/>
    <col min="4" max="4" width="9.5703125" customWidth="1"/>
    <col min="5" max="5" width="28.7109375" style="9" customWidth="1"/>
    <col min="6" max="6" width="8.7109375" bestFit="1" customWidth="1"/>
    <col min="7" max="7" width="8.28515625" bestFit="1" customWidth="1"/>
    <col min="8" max="8" width="7.85546875" style="5" bestFit="1" customWidth="1"/>
    <col min="9" max="9" width="20" bestFit="1" customWidth="1"/>
    <col min="10" max="10" width="20" customWidth="1"/>
    <col min="11" max="11" width="20.7109375" customWidth="1"/>
    <col min="12" max="12" width="12.5703125" style="4" bestFit="1" customWidth="1"/>
    <col min="13" max="13" width="14" bestFit="1" customWidth="1"/>
    <col min="14" max="14" width="23.5703125" customWidth="1"/>
  </cols>
  <sheetData>
    <row r="1" spans="1:14">
      <c r="K1" s="4"/>
      <c r="L1"/>
    </row>
    <row r="2" spans="1:14" ht="25.5">
      <c r="A2" s="10"/>
      <c r="B2" s="11"/>
      <c r="C2" s="10"/>
      <c r="D2" s="10"/>
      <c r="E2" s="10"/>
      <c r="F2" s="10"/>
      <c r="G2" s="10"/>
      <c r="H2" s="10"/>
      <c r="I2" s="10"/>
      <c r="L2"/>
    </row>
    <row r="3" spans="1:14">
      <c r="A3" s="10"/>
      <c r="B3" s="10"/>
      <c r="C3" s="10"/>
      <c r="D3" s="10"/>
      <c r="E3" s="10"/>
      <c r="F3" s="10"/>
      <c r="G3" s="10"/>
      <c r="H3" s="10"/>
      <c r="I3" s="10"/>
      <c r="L3"/>
    </row>
    <row r="4" spans="1:14">
      <c r="A4" s="10"/>
      <c r="B4" s="10"/>
      <c r="C4" s="10"/>
      <c r="D4" s="10"/>
      <c r="E4" s="10"/>
      <c r="F4" s="10"/>
      <c r="G4" s="10"/>
      <c r="H4" s="10"/>
      <c r="I4" s="10"/>
      <c r="L4"/>
    </row>
    <row r="5" spans="1:14" ht="30" customHeight="1">
      <c r="A5" s="10"/>
      <c r="B5" s="10"/>
      <c r="C5" s="10"/>
      <c r="D5" s="10"/>
      <c r="E5" s="10"/>
      <c r="F5" s="10"/>
      <c r="G5" s="10"/>
      <c r="H5" s="10"/>
      <c r="I5" s="10"/>
      <c r="L5"/>
    </row>
    <row r="7" spans="1:14" s="1" customFormat="1" ht="42" customHeight="1">
      <c r="B7" s="43" t="str">
        <f>base!B2</f>
        <v>Código</v>
      </c>
      <c r="C7" s="43" t="str">
        <f>base!C2</f>
        <v>Código AMB</v>
      </c>
      <c r="D7" s="43" t="str">
        <f>base!D2</f>
        <v>Especialidade</v>
      </c>
      <c r="E7" s="43" t="str">
        <f>base!E2</f>
        <v>Procedimento</v>
      </c>
      <c r="F7" s="43" t="str">
        <f>base!F2</f>
        <v>Tipo de Anestesia</v>
      </c>
      <c r="G7" s="43" t="str">
        <f>base!G2</f>
        <v>Diárias</v>
      </c>
      <c r="H7" s="43" t="str">
        <f>base!H2</f>
        <v>Tempo Sala</v>
      </c>
      <c r="I7" s="43" t="str">
        <f>base!I2</f>
        <v>Itens inclusos - OPME</v>
      </c>
      <c r="J7" s="43" t="str">
        <f>base!J2</f>
        <v>Fornecedor Homologado - itens inclusos</v>
      </c>
      <c r="K7" s="43" t="str">
        <f>base!K2</f>
        <v>Itens exclusos</v>
      </c>
      <c r="L7" s="43" t="str">
        <f>base!L2</f>
        <v>Vera Cruz Hospital</v>
      </c>
      <c r="M7" s="43" t="str">
        <f>base!M2</f>
        <v>Vera Cruz Casa Saude</v>
      </c>
      <c r="N7" s="43" t="str">
        <f>base!N2</f>
        <v>Anatomo Patologico Multipat</v>
      </c>
    </row>
    <row r="8" spans="1:14" ht="50.1" customHeight="1">
      <c r="B8" s="17">
        <f>base!B21</f>
        <v>31003079</v>
      </c>
      <c r="C8" s="17">
        <f>base!C21</f>
        <v>43030025</v>
      </c>
      <c r="D8" s="17" t="str">
        <f>base!D21</f>
        <v>CIRURGIA GERAL</v>
      </c>
      <c r="E8" s="17" t="str">
        <f>base!E21</f>
        <v>Apendicectomia (Convencional - Sem Complicação)</v>
      </c>
      <c r="F8" s="17" t="str">
        <f>base!F21</f>
        <v>Qualquer Tipo</v>
      </c>
      <c r="G8" s="17">
        <f>base!G21</f>
        <v>2</v>
      </c>
      <c r="H8" s="33">
        <f>base!H21</f>
        <v>8.3333333333333329E-2</v>
      </c>
      <c r="I8" s="17" t="str">
        <f>base!I21</f>
        <v>-</v>
      </c>
      <c r="J8" s="17" t="str">
        <f>base!J21</f>
        <v>-</v>
      </c>
      <c r="K8" s="17" t="str">
        <f>base!K21</f>
        <v>Exclui OPME e Anatomo</v>
      </c>
      <c r="L8" s="48">
        <f>base!L21</f>
        <v>6181.92</v>
      </c>
      <c r="M8" s="48">
        <f>base!M21</f>
        <v>4327.3440000000001</v>
      </c>
      <c r="N8" s="48">
        <f>base!N21</f>
        <v>550</v>
      </c>
    </row>
    <row r="9" spans="1:14" ht="50.1" customHeight="1">
      <c r="B9" s="17">
        <f>base!B22</f>
        <v>31003583</v>
      </c>
      <c r="C9" s="17" t="str">
        <f>base!C22</f>
        <v>-</v>
      </c>
      <c r="D9" s="17" t="str">
        <f>base!D22</f>
        <v>CIRURGIA GERAL</v>
      </c>
      <c r="E9" s="17" t="str">
        <f>base!E22</f>
        <v>Apendicectomia por videolaparoscopia</v>
      </c>
      <c r="F9" s="17" t="str">
        <f>base!F22</f>
        <v>Qualquer Tipo</v>
      </c>
      <c r="G9" s="17">
        <f>base!G22</f>
        <v>1</v>
      </c>
      <c r="H9" s="33">
        <f>base!H22</f>
        <v>8.3333333333333329E-2</v>
      </c>
      <c r="I9" s="17" t="str">
        <f>base!I22</f>
        <v>1 endopouch; 1 trocater 1 tesoura permanente</v>
      </c>
      <c r="J9" s="17" t="str">
        <f>base!J22</f>
        <v>Johnson OU Medtronik</v>
      </c>
      <c r="K9" s="17" t="str">
        <f>base!K22</f>
        <v>Exclui demais OPMEs e anatomo</v>
      </c>
      <c r="L9" s="48">
        <f>base!L22</f>
        <v>8586</v>
      </c>
      <c r="M9" s="48">
        <f>base!M22</f>
        <v>6868.8</v>
      </c>
      <c r="N9" s="48">
        <f>base!N22</f>
        <v>550</v>
      </c>
    </row>
    <row r="10" spans="1:14" ht="50.1" customHeight="1">
      <c r="B10" s="17">
        <f>base!B23</f>
        <v>31009042</v>
      </c>
      <c r="C10" s="17">
        <f>base!C23</f>
        <v>43080022</v>
      </c>
      <c r="D10" s="17" t="str">
        <f>base!D23</f>
        <v>CIRURGIA GERAL</v>
      </c>
      <c r="E10" s="17" t="str">
        <f>base!E23</f>
        <v>Cisto Sacro-Cocígeo – Tratamento Cirúrgico</v>
      </c>
      <c r="F10" s="17" t="str">
        <f>base!F23</f>
        <v>Local / Sedação</v>
      </c>
      <c r="G10" s="17" t="str">
        <f>base!G23</f>
        <v>Day</v>
      </c>
      <c r="H10" s="33">
        <f>base!H23</f>
        <v>8.3333333333333329E-2</v>
      </c>
      <c r="I10" s="17" t="str">
        <f>base!I23</f>
        <v>-</v>
      </c>
      <c r="J10" s="17" t="str">
        <f>base!J23</f>
        <v>-</v>
      </c>
      <c r="K10" s="17" t="str">
        <f>base!K23</f>
        <v>Exclui OPME</v>
      </c>
      <c r="L10" s="48">
        <f>base!L23</f>
        <v>4258.6560000000009</v>
      </c>
      <c r="M10" s="48">
        <f>base!M23</f>
        <v>2981.0592000000006</v>
      </c>
      <c r="N10" s="48">
        <f>base!N23</f>
        <v>390</v>
      </c>
    </row>
    <row r="11" spans="1:14" ht="50.1" customHeight="1">
      <c r="B11" s="17">
        <f>base!B24</f>
        <v>31005497</v>
      </c>
      <c r="C11" s="17" t="str">
        <f>base!C24</f>
        <v>-</v>
      </c>
      <c r="D11" s="17" t="str">
        <f>base!D24</f>
        <v>CIRURGIA GERAL</v>
      </c>
      <c r="E11" s="17" t="str">
        <f>base!E24</f>
        <v>Colecistectomia  sem  Colangiografia por videolaparoscopia</v>
      </c>
      <c r="F11" s="17" t="str">
        <f>base!F24</f>
        <v>Qualquer Tipo</v>
      </c>
      <c r="G11" s="17">
        <f>base!G24</f>
        <v>1</v>
      </c>
      <c r="H11" s="33">
        <f>base!H24</f>
        <v>8.3333333333333329E-2</v>
      </c>
      <c r="I11" s="17" t="str">
        <f>base!I24</f>
        <v>1 trocater + 1 tesoura permanente</v>
      </c>
      <c r="J11" s="17" t="str">
        <f>base!J24</f>
        <v>Johnson OU Medtronik</v>
      </c>
      <c r="K11" s="17" t="str">
        <f>base!K24</f>
        <v>Exclui demais OPMEs e anatomo</v>
      </c>
      <c r="L11" s="48">
        <f>base!L24</f>
        <v>8586</v>
      </c>
      <c r="M11" s="48">
        <f>base!M24</f>
        <v>6868.8</v>
      </c>
      <c r="N11" s="48">
        <f>base!N24</f>
        <v>550</v>
      </c>
    </row>
    <row r="12" spans="1:14" ht="50.1" customHeight="1">
      <c r="B12" s="17">
        <f>base!B25</f>
        <v>31005470</v>
      </c>
      <c r="C12" s="17" t="str">
        <f>base!C25</f>
        <v>-</v>
      </c>
      <c r="D12" s="17" t="str">
        <f>base!D25</f>
        <v>CIRURGIA GERAL</v>
      </c>
      <c r="E12" s="17" t="str">
        <f>base!E25</f>
        <v>Colecistectomia com Colangiografia por videolaparoscopia</v>
      </c>
      <c r="F12" s="17" t="str">
        <f>base!F25</f>
        <v>Qualquer Tipo</v>
      </c>
      <c r="G12" s="17">
        <f>base!G25</f>
        <v>1</v>
      </c>
      <c r="H12" s="33">
        <f>base!H25</f>
        <v>8.3333333333333329E-2</v>
      </c>
      <c r="I12" s="17" t="str">
        <f>base!I25</f>
        <v>1 trocater + 1 tesoura permanente</v>
      </c>
      <c r="J12" s="17" t="str">
        <f>base!J25</f>
        <v>Johnson OU Medtronik</v>
      </c>
      <c r="K12" s="17" t="str">
        <f>base!K25</f>
        <v>Exclui demais OPMEs e anatomo</v>
      </c>
      <c r="L12" s="48">
        <f>base!L25</f>
        <v>8586</v>
      </c>
      <c r="M12" s="48">
        <f>base!M25</f>
        <v>6868.8</v>
      </c>
      <c r="N12" s="48">
        <f>base!N25</f>
        <v>550</v>
      </c>
    </row>
    <row r="13" spans="1:14" ht="55.5" customHeight="1">
      <c r="B13" s="17">
        <f>base!B26</f>
        <v>31003168</v>
      </c>
      <c r="C13" s="17">
        <f>base!C26</f>
        <v>43030050</v>
      </c>
      <c r="D13" s="17" t="str">
        <f>base!D26</f>
        <v>CIRURGIA GERAL</v>
      </c>
      <c r="E13" s="17" t="str">
        <f>base!E26</f>
        <v>Colectomia parcial com colostomia</v>
      </c>
      <c r="F13" s="17" t="str">
        <f>base!F26</f>
        <v>Qualquer Tipo</v>
      </c>
      <c r="G13" s="17" t="str">
        <f>base!G26</f>
        <v>4 Apto + 1 UTI</v>
      </c>
      <c r="H13" s="33">
        <f>base!H26</f>
        <v>0.16666666666666666</v>
      </c>
      <c r="I13" s="17" t="str">
        <f>base!I26</f>
        <v>antibiótico terapia profilática, 01 plantão médico UTI</v>
      </c>
      <c r="J13" s="17" t="str">
        <f>base!J26</f>
        <v>-</v>
      </c>
      <c r="K13" s="17" t="str">
        <f>base!K26</f>
        <v>Exclui Nutrição parenteral, anatomo e OPME</v>
      </c>
      <c r="L13" s="48">
        <f>base!L26</f>
        <v>26330.400000000001</v>
      </c>
      <c r="M13" s="48">
        <f>base!M26</f>
        <v>21064.320000000003</v>
      </c>
      <c r="N13" s="48" t="str">
        <f>base!N26</f>
        <v>R$ 700,00 (não tumoral)
R$ 1.450,00 (tumoral)</v>
      </c>
    </row>
    <row r="14" spans="1:14" ht="70.5" customHeight="1">
      <c r="B14" s="17">
        <f>base!B27</f>
        <v>31003613</v>
      </c>
      <c r="C14" s="17" t="str">
        <f>base!C27</f>
        <v>-</v>
      </c>
      <c r="D14" s="17" t="str">
        <f>base!D27</f>
        <v>CIRURGIA GERAL</v>
      </c>
      <c r="E14" s="17" t="str">
        <f>base!E27</f>
        <v>Colectomia parcial com colostomia por videolaparoscopia</v>
      </c>
      <c r="F14" s="17" t="str">
        <f>base!F27</f>
        <v>Qualquer Tipo</v>
      </c>
      <c r="G14" s="17" t="str">
        <f>base!G27</f>
        <v>3 Apto + 1 UTI</v>
      </c>
      <c r="H14" s="33">
        <f>base!H27</f>
        <v>0.125</v>
      </c>
      <c r="I14" s="17" t="str">
        <f>base!I27</f>
        <v>antibiótico terapia profilática, 01 plantão médico UTI</v>
      </c>
      <c r="J14" s="17" t="str">
        <f>base!J27</f>
        <v>-</v>
      </c>
      <c r="K14" s="17" t="str">
        <f>base!K27</f>
        <v>Exclui Nutrição parenteral, anatomo e OPME</v>
      </c>
      <c r="L14" s="48">
        <f>base!L27</f>
        <v>21751.200000000001</v>
      </c>
      <c r="M14" s="48">
        <f>base!M27</f>
        <v>17400.960000000003</v>
      </c>
      <c r="N14" s="48" t="str">
        <f>base!N27</f>
        <v>R$ 700,00 (não tumoral)
R$ 1.450,00 (tumoral)</v>
      </c>
    </row>
    <row r="15" spans="1:14" ht="50.1" customHeight="1">
      <c r="B15" s="17">
        <f>base!B28</f>
        <v>31003176</v>
      </c>
      <c r="C15" s="17">
        <f>base!C28</f>
        <v>43030050</v>
      </c>
      <c r="D15" s="17" t="str">
        <f>base!D28</f>
        <v>CIRURGIA GERAL</v>
      </c>
      <c r="E15" s="17" t="str">
        <f>base!E28</f>
        <v>Colectomia parcial sem colostomia</v>
      </c>
      <c r="F15" s="17" t="str">
        <f>base!F28</f>
        <v>Qualquer Tipo</v>
      </c>
      <c r="G15" s="17" t="str">
        <f>base!G28</f>
        <v>4 Apto + 1 UTI</v>
      </c>
      <c r="H15" s="33">
        <f>base!H28</f>
        <v>0.16666666666666666</v>
      </c>
      <c r="I15" s="17" t="str">
        <f>base!I28</f>
        <v>antibiótico terapia profilática, 01 plantão médico UTI</v>
      </c>
      <c r="J15" s="17" t="str">
        <f>base!J28</f>
        <v>-</v>
      </c>
      <c r="K15" s="17" t="str">
        <f>base!K28</f>
        <v>Exclui Nutrição parenteral, anatomo e OPME</v>
      </c>
      <c r="L15" s="48">
        <f>base!L28</f>
        <v>26330.400000000001</v>
      </c>
      <c r="M15" s="48">
        <f>base!M28</f>
        <v>21064.320000000003</v>
      </c>
      <c r="N15" s="48" t="str">
        <f>base!N28</f>
        <v>R$ 700,00 (não tumoral)
R$ 1.450,00 (tumoral)</v>
      </c>
    </row>
    <row r="16" spans="1:14" ht="64.5" customHeight="1">
      <c r="B16" s="17">
        <f>base!B29</f>
        <v>31003176</v>
      </c>
      <c r="C16" s="17">
        <f>base!C29</f>
        <v>43030050</v>
      </c>
      <c r="D16" s="17" t="str">
        <f>base!D29</f>
        <v>CIRURGIA GERAL</v>
      </c>
      <c r="E16" s="17" t="str">
        <f>base!E29</f>
        <v>Colectomia parcial sem colostomia</v>
      </c>
      <c r="F16" s="17" t="str">
        <f>base!F29</f>
        <v>Qualquer Tipo</v>
      </c>
      <c r="G16" s="17" t="str">
        <f>base!G29</f>
        <v xml:space="preserve">4 Apto </v>
      </c>
      <c r="H16" s="33">
        <f>base!H29</f>
        <v>0.16666666666666666</v>
      </c>
      <c r="I16" s="17" t="str">
        <f>base!I29</f>
        <v>antibiótico terapia profilática</v>
      </c>
      <c r="J16" s="17" t="str">
        <f>base!J29</f>
        <v>-</v>
      </c>
      <c r="K16" s="17" t="str">
        <f>base!K29</f>
        <v>Exclui Nutrição parenteral, anatomo e OPME</v>
      </c>
      <c r="L16" s="48">
        <f>base!L29</f>
        <v>19461.600000000002</v>
      </c>
      <c r="M16" s="48">
        <f>base!M29</f>
        <v>15569.280000000002</v>
      </c>
      <c r="N16" s="48" t="str">
        <f>base!N29</f>
        <v>R$ 700,00 (não tumoral)
R$ 1.450,00 (tumoral)</v>
      </c>
    </row>
    <row r="17" spans="2:14" ht="64.5" customHeight="1">
      <c r="B17" s="17">
        <f>base!B30</f>
        <v>31003621</v>
      </c>
      <c r="C17" s="17" t="str">
        <f>base!C30</f>
        <v>-</v>
      </c>
      <c r="D17" s="17" t="str">
        <f>base!D30</f>
        <v>CIRURGIA GERAL</v>
      </c>
      <c r="E17" s="17" t="str">
        <f>base!E30</f>
        <v>Colectomia parcial sem colostomia por videolaparoscopia</v>
      </c>
      <c r="F17" s="17" t="str">
        <f>base!F30</f>
        <v>Qualquer Tipo</v>
      </c>
      <c r="G17" s="17" t="str">
        <f>base!G30</f>
        <v>3 Apto + 1 UTI</v>
      </c>
      <c r="H17" s="33">
        <f>base!H30</f>
        <v>0.125</v>
      </c>
      <c r="I17" s="17" t="str">
        <f>base!I30</f>
        <v>antibiótico terapia profilática, 01 plantão médico UTI</v>
      </c>
      <c r="J17" s="17" t="str">
        <f>base!J30</f>
        <v>-</v>
      </c>
      <c r="K17" s="17" t="str">
        <f>base!K30</f>
        <v>Exclui Nutrição parenteral, anatomo e OPME</v>
      </c>
      <c r="L17" s="48">
        <f>base!L30</f>
        <v>21751.200000000001</v>
      </c>
      <c r="M17" s="48">
        <f>base!M30</f>
        <v>17400.960000000003</v>
      </c>
      <c r="N17" s="48" t="str">
        <f>base!N30</f>
        <v>R$ 700,00 (não tumoral)
R$ 1.450,00 (tumoral)</v>
      </c>
    </row>
    <row r="18" spans="2:14" ht="64.5" customHeight="1">
      <c r="B18" s="17">
        <f>base!B31</f>
        <v>31003621</v>
      </c>
      <c r="C18" s="17" t="str">
        <f>base!C31</f>
        <v>-</v>
      </c>
      <c r="D18" s="17" t="str">
        <f>base!D31</f>
        <v>CIRURGIA GERAL</v>
      </c>
      <c r="E18" s="17" t="str">
        <f>base!E31</f>
        <v>Colectomia parcial sem colostomia por videolaparoscopia</v>
      </c>
      <c r="F18" s="17" t="str">
        <f>base!F31</f>
        <v>Qualquer Tipo</v>
      </c>
      <c r="G18" s="17" t="str">
        <f>base!G31</f>
        <v xml:space="preserve">3 Apto </v>
      </c>
      <c r="H18" s="33">
        <f>base!H31</f>
        <v>0.125</v>
      </c>
      <c r="I18" s="17" t="str">
        <f>base!I31</f>
        <v>antibiótico terapia profilática</v>
      </c>
      <c r="J18" s="17" t="str">
        <f>base!J31</f>
        <v>-</v>
      </c>
      <c r="K18" s="17" t="str">
        <f>base!K31</f>
        <v>Exclui Nutrição parenteral, anatomo e OPME</v>
      </c>
      <c r="L18" s="48">
        <f>base!L31</f>
        <v>17172</v>
      </c>
      <c r="M18" s="48">
        <f>base!M31</f>
        <v>13737.6</v>
      </c>
      <c r="N18" s="48" t="str">
        <f>base!N31</f>
        <v>R$ 700,00 (não tumoral)
R$ 1.450,00 (tumoral)</v>
      </c>
    </row>
    <row r="19" spans="2:14" ht="43.5" customHeight="1">
      <c r="B19" s="17">
        <f>base!B32</f>
        <v>31004105</v>
      </c>
      <c r="C19" s="17">
        <f>base!C32</f>
        <v>43040098</v>
      </c>
      <c r="D19" s="17" t="str">
        <f>base!D32</f>
        <v>CIRURGIA GERAL</v>
      </c>
      <c r="E19" s="17" t="str">
        <f>base!E32</f>
        <v>Fissurectomia com ou sem esfincterotomia</v>
      </c>
      <c r="F19" s="17" t="str">
        <f>base!F32</f>
        <v>Sedação /  Raqui</v>
      </c>
      <c r="G19" s="17" t="str">
        <f>base!G32</f>
        <v>Day</v>
      </c>
      <c r="H19" s="33">
        <f>base!H32</f>
        <v>6.25E-2</v>
      </c>
      <c r="I19" s="17" t="str">
        <f>base!I32</f>
        <v>-</v>
      </c>
      <c r="J19" s="17" t="str">
        <f>base!J32</f>
        <v>-</v>
      </c>
      <c r="K19" s="17" t="str">
        <f>base!K32</f>
        <v>Exlui OPME</v>
      </c>
      <c r="L19" s="48">
        <f>base!L32</f>
        <v>4464.72</v>
      </c>
      <c r="M19" s="48">
        <f>base!M32</f>
        <v>3125.3040000000001</v>
      </c>
      <c r="N19" s="48">
        <f>base!N32</f>
        <v>550</v>
      </c>
    </row>
    <row r="20" spans="2:14" ht="25.5">
      <c r="B20" s="17">
        <f>base!B33</f>
        <v>31004148</v>
      </c>
      <c r="C20" s="17">
        <f>base!C33</f>
        <v>43040101</v>
      </c>
      <c r="D20" s="17" t="str">
        <f>base!D33</f>
        <v>CIRURGIA GERAL</v>
      </c>
      <c r="E20" s="17" t="str">
        <f>base!E33</f>
        <v>Fistulectomia anal</v>
      </c>
      <c r="F20" s="17" t="str">
        <f>base!F33</f>
        <v>Sedação /  Raqui</v>
      </c>
      <c r="G20" s="17" t="str">
        <f>base!G33</f>
        <v>Day</v>
      </c>
      <c r="H20" s="33">
        <f>base!H33</f>
        <v>6.25E-2</v>
      </c>
      <c r="I20" s="17" t="str">
        <f>base!I33</f>
        <v>-</v>
      </c>
      <c r="J20" s="17" t="str">
        <f>base!J33</f>
        <v>-</v>
      </c>
      <c r="K20" s="17" t="str">
        <f>base!K33</f>
        <v>Exlui OPME</v>
      </c>
      <c r="L20" s="48">
        <f>base!L33</f>
        <v>4464.72</v>
      </c>
      <c r="M20" s="48">
        <f>base!M33</f>
        <v>3125.3040000000001</v>
      </c>
      <c r="N20" s="48">
        <f>base!N33</f>
        <v>550</v>
      </c>
    </row>
    <row r="21" spans="2:14" ht="33.75" customHeight="1">
      <c r="B21" s="17">
        <f>base!B34</f>
        <v>31004202</v>
      </c>
      <c r="C21" s="17">
        <f>base!C34</f>
        <v>43040144</v>
      </c>
      <c r="D21" s="17" t="str">
        <f>base!D34</f>
        <v>CIRURGIA GERAL</v>
      </c>
      <c r="E21" s="17" t="str">
        <f>base!E34</f>
        <v>Hemorroidectomia aberta ou fechada, com ou sem esfincterotomia</v>
      </c>
      <c r="F21" s="17" t="str">
        <f>base!F34</f>
        <v>Qualquer Tipo</v>
      </c>
      <c r="G21" s="17">
        <f>base!G34</f>
        <v>1</v>
      </c>
      <c r="H21" s="33">
        <f>base!H34</f>
        <v>8.3333333333333329E-2</v>
      </c>
      <c r="I21" s="17" t="str">
        <f>base!I34</f>
        <v>-</v>
      </c>
      <c r="J21" s="17" t="str">
        <f>base!J34</f>
        <v>-</v>
      </c>
      <c r="K21" s="17" t="str">
        <f>base!K34</f>
        <v>Exclui OPME e Anatomo</v>
      </c>
      <c r="L21" s="48">
        <f>base!L34</f>
        <v>4808.1600000000008</v>
      </c>
      <c r="M21" s="48">
        <f>base!M34</f>
        <v>3365.7120000000004</v>
      </c>
      <c r="N21" s="48">
        <f>base!N34</f>
        <v>550</v>
      </c>
    </row>
    <row r="22" spans="2:14" ht="63.75">
      <c r="B22" s="17">
        <f>base!B35</f>
        <v>31004202</v>
      </c>
      <c r="C22" s="17">
        <f>base!C35</f>
        <v>43040144</v>
      </c>
      <c r="D22" s="17" t="str">
        <f>base!D35</f>
        <v>CIRURGIA GERAL</v>
      </c>
      <c r="E22" s="17" t="str">
        <f>base!E35</f>
        <v>Hemorroidectomia aberta ou fechada, com ou sem esfincterotomia (com grampeador ou dispositivo de desarterialização)</v>
      </c>
      <c r="F22" s="17" t="str">
        <f>base!F35</f>
        <v>Qualquer Tipo</v>
      </c>
      <c r="G22" s="17">
        <f>base!G35</f>
        <v>1</v>
      </c>
      <c r="H22" s="33">
        <f>base!H35</f>
        <v>8.3333333333333329E-2</v>
      </c>
      <c r="I22" s="17" t="str">
        <f>base!I35</f>
        <v>01 Grampeador PPH ou 01 dispositivo THD</v>
      </c>
      <c r="J22" s="17" t="str">
        <f>base!J35</f>
        <v>PPH: Johnson OU Medtronik  /  THD: Siltace</v>
      </c>
      <c r="K22" s="17" t="str">
        <f>base!K35</f>
        <v>Exclui demais OPMEs e anatomo</v>
      </c>
      <c r="L22" s="48">
        <f>base!L35</f>
        <v>8013.6</v>
      </c>
      <c r="M22" s="48">
        <f>base!M35</f>
        <v>6410.880000000001</v>
      </c>
      <c r="N22" s="48">
        <f>base!N35</f>
        <v>550</v>
      </c>
    </row>
    <row r="23" spans="2:14" ht="25.5">
      <c r="B23" s="17">
        <f>base!B36</f>
        <v>31009115</v>
      </c>
      <c r="C23" s="17">
        <f>base!C36</f>
        <v>43080120</v>
      </c>
      <c r="D23" s="17" t="str">
        <f>base!D36</f>
        <v>CIRURGIA GERAL</v>
      </c>
      <c r="E23" s="17" t="str">
        <f>base!E36</f>
        <v>Herniorrafia Inguinal - unilateral</v>
      </c>
      <c r="F23" s="17" t="str">
        <f>base!F36</f>
        <v>Qualquer Tipo</v>
      </c>
      <c r="G23" s="17">
        <f>base!G36</f>
        <v>1</v>
      </c>
      <c r="H23" s="33">
        <f>base!H36</f>
        <v>8.3333333333333329E-2</v>
      </c>
      <c r="I23" s="17" t="str">
        <f>base!I36</f>
        <v xml:space="preserve">01 tela de prolene 15 x 15 </v>
      </c>
      <c r="J23" s="17" t="str">
        <f>base!J36</f>
        <v>Tela Estoque</v>
      </c>
      <c r="K23" s="17" t="str">
        <f>base!K36</f>
        <v>Exclui demais OPMEs e anatomo</v>
      </c>
      <c r="L23" s="48">
        <f>base!L36</f>
        <v>4922.6400000000003</v>
      </c>
      <c r="M23" s="48">
        <f>base!M36</f>
        <v>3938.1120000000005</v>
      </c>
      <c r="N23" s="48">
        <f>base!N36</f>
        <v>550</v>
      </c>
    </row>
    <row r="24" spans="2:14" ht="51">
      <c r="B24" s="17">
        <f>base!B37</f>
        <v>31009336</v>
      </c>
      <c r="C24" s="17" t="str">
        <f>base!C37</f>
        <v>-</v>
      </c>
      <c r="D24" s="17" t="str">
        <f>base!D37</f>
        <v>CIRURGIA GERAL</v>
      </c>
      <c r="E24" s="17" t="str">
        <f>base!E37</f>
        <v>Herniorrafia inguinal - unilateral por videolaparoscopia</v>
      </c>
      <c r="F24" s="17" t="str">
        <f>base!F37</f>
        <v>Qualquer Tipo</v>
      </c>
      <c r="G24" s="17">
        <f>base!G37</f>
        <v>1</v>
      </c>
      <c r="H24" s="33">
        <f>base!H37</f>
        <v>8.3333333333333329E-2</v>
      </c>
      <c r="I24" s="17" t="str">
        <f>base!I37</f>
        <v>01 trocater, 01 tela Prolene 15x15, , 01 grampeador Hernia, tesoura permanente</v>
      </c>
      <c r="J24" s="17" t="str">
        <f>base!J37</f>
        <v>Johnson OU Medtronik  / Tela Estoque</v>
      </c>
      <c r="K24" s="17" t="str">
        <f>base!K37</f>
        <v>Exclui demais OPMEs e anatomo</v>
      </c>
      <c r="L24" s="48">
        <f>base!L37</f>
        <v>9730.8000000000011</v>
      </c>
      <c r="M24" s="48">
        <f>base!M37</f>
        <v>7784.6400000000012</v>
      </c>
      <c r="N24" s="48">
        <f>base!N37</f>
        <v>550</v>
      </c>
    </row>
    <row r="25" spans="2:14" ht="25.5">
      <c r="B25" s="17">
        <f>base!B38</f>
        <v>31009123</v>
      </c>
      <c r="C25" s="17">
        <f>base!C38</f>
        <v>53070097</v>
      </c>
      <c r="D25" s="17" t="str">
        <f>base!D38</f>
        <v>CIRURGIA GERAL</v>
      </c>
      <c r="E25" s="17" t="str">
        <f>base!E38</f>
        <v>Herniorrafia Inguinal No Rn Ou Lactente</v>
      </c>
      <c r="F25" s="17" t="str">
        <f>base!F38</f>
        <v>Qualquer Tipo</v>
      </c>
      <c r="G25" s="17">
        <f>base!G38</f>
        <v>1</v>
      </c>
      <c r="H25" s="33">
        <f>base!H38</f>
        <v>8.3333333333333329E-2</v>
      </c>
      <c r="I25" s="17" t="str">
        <f>base!I38</f>
        <v xml:space="preserve">01 tela de prolene 15 x 15 </v>
      </c>
      <c r="J25" s="17" t="str">
        <f>base!J38</f>
        <v>Tela Estoque</v>
      </c>
      <c r="K25" s="17" t="str">
        <f>base!K38</f>
        <v>Exclui demais OPMEs e anatomo</v>
      </c>
      <c r="L25" s="48">
        <f>base!L38</f>
        <v>4922.6400000000003</v>
      </c>
      <c r="M25" s="48">
        <f>base!M38</f>
        <v>3938.1120000000005</v>
      </c>
      <c r="N25" s="48">
        <f>base!N38</f>
        <v>550</v>
      </c>
    </row>
    <row r="26" spans="2:14" ht="25.5">
      <c r="B26" s="17">
        <f>base!B39</f>
        <v>31009166</v>
      </c>
      <c r="C26" s="17">
        <f>base!C39</f>
        <v>43080162</v>
      </c>
      <c r="D26" s="17" t="str">
        <f>base!D39</f>
        <v>CIRURGIA GERAL</v>
      </c>
      <c r="E26" s="17" t="str">
        <f>base!E39</f>
        <v>Herniorrafia Umbilical</v>
      </c>
      <c r="F26" s="17" t="str">
        <f>base!F39</f>
        <v>Geral</v>
      </c>
      <c r="G26" s="17" t="str">
        <f>base!G39</f>
        <v>Day</v>
      </c>
      <c r="H26" s="33">
        <f>base!H39</f>
        <v>4.1666666666666664E-2</v>
      </c>
      <c r="I26" s="17" t="str">
        <f>base!I39</f>
        <v>-</v>
      </c>
      <c r="J26" s="17" t="str">
        <f>base!J39</f>
        <v>-</v>
      </c>
      <c r="K26" s="17" t="str">
        <f>base!K39</f>
        <v>Exclui OPME</v>
      </c>
      <c r="L26" s="48">
        <f>base!L39</f>
        <v>4235.76</v>
      </c>
      <c r="M26" s="48">
        <f>base!M39</f>
        <v>2965.0320000000002</v>
      </c>
      <c r="N26" s="48">
        <f>base!N39</f>
        <v>550</v>
      </c>
    </row>
    <row r="27" spans="2:14" ht="51">
      <c r="B27" s="17">
        <f>base!B40</f>
        <v>31001262</v>
      </c>
      <c r="C27" s="17">
        <f>base!C40</f>
        <v>53030508</v>
      </c>
      <c r="D27" s="17" t="str">
        <f>base!D40</f>
        <v>CIRURGIA GERAL</v>
      </c>
      <c r="E27" s="17" t="str">
        <f>base!E40</f>
        <v>Refluxo gastroesofágico - tratamento cirúrgico (Hérnia de hiato) por
videolaparoscopia</v>
      </c>
      <c r="F27" s="17" t="str">
        <f>base!F40</f>
        <v>Qualquer Tipo</v>
      </c>
      <c r="G27" s="17">
        <f>base!G40</f>
        <v>1</v>
      </c>
      <c r="H27" s="33">
        <f>base!H40</f>
        <v>0.10416666666666667</v>
      </c>
      <c r="I27" s="17" t="str">
        <f>base!I40</f>
        <v>02 trocateres, 01 cartucho com 6 clips, 1 agulha de verres , 01 tesoura de coagulação</v>
      </c>
      <c r="J27" s="17" t="str">
        <f>base!J40</f>
        <v>Johnson OU Medtronik</v>
      </c>
      <c r="K27" s="17" t="str">
        <f>base!K40</f>
        <v>-</v>
      </c>
      <c r="L27" s="48">
        <f>base!L40</f>
        <v>14882.400000000001</v>
      </c>
      <c r="M27" s="48">
        <f>base!M40</f>
        <v>11905.920000000002</v>
      </c>
      <c r="N27" s="48">
        <f>base!N40</f>
        <v>550</v>
      </c>
    </row>
    <row r="28" spans="2:14" ht="25.5">
      <c r="B28" s="17">
        <f>base!B41</f>
        <v>31403379</v>
      </c>
      <c r="C28" s="17" t="str">
        <f>base!C41</f>
        <v>-</v>
      </c>
      <c r="D28" s="17" t="str">
        <f>base!D41</f>
        <v>CIRURGIA GERAL</v>
      </c>
      <c r="E28" s="17" t="str">
        <f>base!E41</f>
        <v>Simpatectomia por vdeotoracoscopia</v>
      </c>
      <c r="F28" s="17" t="str">
        <f>base!F41</f>
        <v>Geral</v>
      </c>
      <c r="G28" s="17">
        <f>base!G41</f>
        <v>1</v>
      </c>
      <c r="H28" s="33">
        <f>base!H41</f>
        <v>8.3333333333333329E-2</v>
      </c>
      <c r="I28" s="17" t="str">
        <f>base!I41</f>
        <v>02 trocater (suprimed ou Johnson)</v>
      </c>
      <c r="J28" s="17" t="str">
        <f>base!J41</f>
        <v>Johnson OU Medtronik</v>
      </c>
      <c r="K28" s="17" t="str">
        <f>base!K41</f>
        <v>Exclui demais OPMEs e anatomo</v>
      </c>
      <c r="L28" s="48">
        <f>base!L41</f>
        <v>7441.2000000000007</v>
      </c>
      <c r="M28" s="48">
        <f>base!M41</f>
        <v>5952.9600000000009</v>
      </c>
      <c r="N28" s="48">
        <f>base!N41</f>
        <v>390</v>
      </c>
    </row>
  </sheetData>
  <sheetProtection algorithmName="SHA-512" hashValue="JT6vlgI/A5GZHzreKAdpLJFenkpcI6bAYNvlMmO5rBYieKwvBLWXL1fRERZePsfIwWP9j5Agl1XMSDlw0I3H/Q==" saltValue="QxYDnuiel08Hj0jZK6Md5g==" spinCount="100000" sheet="1" autoFilter="0"/>
  <autoFilter ref="B7:M7" xr:uid="{00000000-0009-0000-0000-000006000000}"/>
  <printOptions horizontalCentered="1"/>
  <pageMargins left="0.11811023622047245" right="0.11811023622047245" top="0.78740157480314965" bottom="0.19685039370078741" header="0.11811023622047245" footer="0.31496062992125984"/>
  <pageSetup paperSize="9" scale="85" orientation="landscape" r:id="rId1"/>
  <headerFooter>
    <oddHeader xml:space="preserve">&amp;L&amp;G&amp;C&amp;"-,Negrito"&amp;12HOSPITAL VERA CRUZ
PREÇOS PADRONIZADOS -PARTICULAR
&amp;K03+000CIRURGIA GERAL &amp;"-,Regular"&amp;11&amp;K01+000
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DD30-97B4-45A1-8EA4-263375A21BDD}">
  <dimension ref="B1:M34"/>
  <sheetViews>
    <sheetView zoomScale="80" zoomScaleNormal="80" workbookViewId="0">
      <selection activeCell="B3" sqref="B3:K3"/>
    </sheetView>
  </sheetViews>
  <sheetFormatPr defaultColWidth="9.140625" defaultRowHeight="35.1" customHeight="1"/>
  <cols>
    <col min="1" max="1" width="12.42578125" style="149" customWidth="1"/>
    <col min="2" max="2" width="12.5703125" style="149" customWidth="1"/>
    <col min="3" max="3" width="56.7109375" style="149" bestFit="1" customWidth="1"/>
    <col min="4" max="4" width="34.140625" style="149" customWidth="1"/>
    <col min="5" max="5" width="17.5703125" style="195" customWidth="1"/>
    <col min="6" max="6" width="17.7109375" style="195" customWidth="1"/>
    <col min="7" max="7" width="30.5703125" style="196" hidden="1" customWidth="1"/>
    <col min="8" max="8" width="30.5703125" style="197" customWidth="1"/>
    <col min="9" max="9" width="27.140625" style="198" hidden="1" customWidth="1"/>
    <col min="10" max="10" width="30.5703125" style="199" customWidth="1"/>
    <col min="11" max="11" width="32.28515625" style="197" customWidth="1"/>
    <col min="12" max="16384" width="9.140625" style="149"/>
  </cols>
  <sheetData>
    <row r="1" spans="2:11" ht="74.25" customHeight="1">
      <c r="D1" s="150"/>
      <c r="E1" s="151"/>
      <c r="F1" s="152"/>
      <c r="G1" s="152"/>
      <c r="H1" s="152"/>
      <c r="I1" s="152"/>
      <c r="J1" s="152"/>
      <c r="K1" s="152"/>
    </row>
    <row r="2" spans="2:11" ht="25.5" customHeight="1" thickBot="1">
      <c r="D2" s="150"/>
      <c r="E2" s="151"/>
      <c r="F2" s="152"/>
      <c r="G2" s="152"/>
      <c r="H2" s="152"/>
      <c r="I2" s="152"/>
      <c r="J2" s="152"/>
      <c r="K2" s="152"/>
    </row>
    <row r="3" spans="2:11" s="153" customFormat="1" ht="51.75" customHeight="1">
      <c r="B3" s="154" t="s">
        <v>335</v>
      </c>
      <c r="C3" s="155"/>
      <c r="D3" s="155"/>
      <c r="E3" s="155"/>
      <c r="F3" s="155"/>
      <c r="G3" s="155"/>
      <c r="H3" s="155"/>
      <c r="I3" s="155"/>
      <c r="J3" s="155"/>
      <c r="K3" s="156"/>
    </row>
    <row r="4" spans="2:11" s="157" customFormat="1" ht="87" customHeight="1" thickBot="1">
      <c r="B4" s="158" t="s">
        <v>207</v>
      </c>
      <c r="C4" s="159" t="s">
        <v>264</v>
      </c>
      <c r="D4" s="159" t="s">
        <v>267</v>
      </c>
      <c r="E4" s="159" t="s">
        <v>26</v>
      </c>
      <c r="F4" s="159" t="s">
        <v>336</v>
      </c>
      <c r="G4" s="160" t="s">
        <v>337</v>
      </c>
      <c r="H4" s="159" t="s">
        <v>338</v>
      </c>
      <c r="I4" s="160" t="s">
        <v>339</v>
      </c>
      <c r="J4" s="159" t="s">
        <v>340</v>
      </c>
      <c r="K4" s="161" t="s">
        <v>341</v>
      </c>
    </row>
    <row r="5" spans="2:11" s="162" customFormat="1" ht="34.5" customHeight="1">
      <c r="B5" s="163">
        <v>54100180</v>
      </c>
      <c r="C5" s="164" t="s">
        <v>342</v>
      </c>
      <c r="D5" s="165" t="s">
        <v>343</v>
      </c>
      <c r="E5" s="166">
        <v>0</v>
      </c>
      <c r="F5" s="167">
        <v>8.3333333333333329E-2</v>
      </c>
      <c r="G5" s="168">
        <v>1508</v>
      </c>
      <c r="H5" s="169">
        <f>G5*1.3</f>
        <v>1960.4</v>
      </c>
      <c r="I5" s="170">
        <f t="shared" ref="I5:I11" si="0">H5/G5-1</f>
        <v>0.30000000000000004</v>
      </c>
      <c r="J5" s="171"/>
      <c r="K5" s="172">
        <v>1320</v>
      </c>
    </row>
    <row r="6" spans="2:11" s="162" customFormat="1" ht="35.1" customHeight="1">
      <c r="B6" s="173">
        <v>54100179</v>
      </c>
      <c r="C6" s="174" t="s">
        <v>344</v>
      </c>
      <c r="D6" s="175" t="s">
        <v>343</v>
      </c>
      <c r="E6" s="176">
        <v>0</v>
      </c>
      <c r="F6" s="167">
        <v>4.1666666666666664E-2</v>
      </c>
      <c r="G6" s="177">
        <v>1160</v>
      </c>
      <c r="H6" s="169">
        <f t="shared" ref="H6:H11" si="1">G6*1.3</f>
        <v>1508</v>
      </c>
      <c r="I6" s="178">
        <f t="shared" si="0"/>
        <v>0.30000000000000004</v>
      </c>
      <c r="J6" s="179"/>
      <c r="K6" s="172">
        <v>1100</v>
      </c>
    </row>
    <row r="7" spans="2:11" s="162" customFormat="1" ht="35.1" customHeight="1">
      <c r="B7" s="173">
        <v>30301050</v>
      </c>
      <c r="C7" s="174" t="s">
        <v>345</v>
      </c>
      <c r="D7" s="175" t="s">
        <v>343</v>
      </c>
      <c r="E7" s="176">
        <v>0</v>
      </c>
      <c r="F7" s="180">
        <v>4.1666666666666664E-2</v>
      </c>
      <c r="G7" s="177">
        <v>928</v>
      </c>
      <c r="H7" s="169">
        <f t="shared" si="1"/>
        <v>1206.4000000000001</v>
      </c>
      <c r="I7" s="178">
        <f t="shared" si="0"/>
        <v>0.30000000000000004</v>
      </c>
      <c r="J7" s="179"/>
      <c r="K7" s="172">
        <v>550</v>
      </c>
    </row>
    <row r="8" spans="2:11" s="162" customFormat="1" ht="35.1" customHeight="1">
      <c r="B8" s="173">
        <v>30101921</v>
      </c>
      <c r="C8" s="174" t="s">
        <v>346</v>
      </c>
      <c r="D8" s="175" t="s">
        <v>343</v>
      </c>
      <c r="E8" s="176">
        <v>0</v>
      </c>
      <c r="F8" s="180">
        <v>4.1666666666666664E-2</v>
      </c>
      <c r="G8" s="177">
        <v>638</v>
      </c>
      <c r="H8" s="169">
        <f t="shared" si="1"/>
        <v>829.4</v>
      </c>
      <c r="I8" s="178">
        <f t="shared" si="0"/>
        <v>0.30000000000000004</v>
      </c>
      <c r="J8" s="179"/>
      <c r="K8" s="172">
        <v>550</v>
      </c>
    </row>
    <row r="9" spans="2:11" s="162" customFormat="1" ht="35.1" customHeight="1">
      <c r="B9" s="173">
        <v>54140320</v>
      </c>
      <c r="C9" s="174" t="s">
        <v>347</v>
      </c>
      <c r="D9" s="175" t="s">
        <v>343</v>
      </c>
      <c r="E9" s="176">
        <v>0</v>
      </c>
      <c r="F9" s="180">
        <v>8.3333333333333329E-2</v>
      </c>
      <c r="G9" s="177">
        <v>1218</v>
      </c>
      <c r="H9" s="169">
        <f t="shared" si="1"/>
        <v>1583.4</v>
      </c>
      <c r="I9" s="178">
        <f t="shared" si="0"/>
        <v>0.30000000000000004</v>
      </c>
      <c r="J9" s="179"/>
      <c r="K9" s="172">
        <v>1100</v>
      </c>
    </row>
    <row r="10" spans="2:11" s="162" customFormat="1" ht="35.1" customHeight="1">
      <c r="B10" s="173">
        <v>54140330</v>
      </c>
      <c r="C10" s="174" t="s">
        <v>348</v>
      </c>
      <c r="D10" s="175" t="s">
        <v>343</v>
      </c>
      <c r="E10" s="176">
        <v>0</v>
      </c>
      <c r="F10" s="180">
        <v>4.1666666666666664E-2</v>
      </c>
      <c r="G10" s="177">
        <v>812</v>
      </c>
      <c r="H10" s="169">
        <f t="shared" si="1"/>
        <v>1055.6000000000001</v>
      </c>
      <c r="I10" s="178">
        <f>H10/G10-1</f>
        <v>0.30000000000000027</v>
      </c>
      <c r="J10" s="179"/>
      <c r="K10" s="172">
        <v>550</v>
      </c>
    </row>
    <row r="11" spans="2:11" s="162" customFormat="1" ht="35.1" customHeight="1">
      <c r="B11" s="173">
        <v>54040222</v>
      </c>
      <c r="C11" s="174" t="s">
        <v>298</v>
      </c>
      <c r="D11" s="175" t="s">
        <v>343</v>
      </c>
      <c r="E11" s="176">
        <v>0</v>
      </c>
      <c r="F11" s="180">
        <v>8.3333333333333329E-2</v>
      </c>
      <c r="G11" s="177">
        <v>1508</v>
      </c>
      <c r="H11" s="169">
        <f t="shared" si="1"/>
        <v>1960.4</v>
      </c>
      <c r="I11" s="178">
        <f t="shared" si="0"/>
        <v>0.30000000000000004</v>
      </c>
      <c r="J11" s="179"/>
      <c r="K11" s="172">
        <v>1320</v>
      </c>
    </row>
    <row r="12" spans="2:11" s="162" customFormat="1" ht="35.1" customHeight="1">
      <c r="B12" s="173">
        <v>54140250</v>
      </c>
      <c r="C12" s="174" t="s">
        <v>349</v>
      </c>
      <c r="D12" s="175" t="s">
        <v>350</v>
      </c>
      <c r="E12" s="176">
        <v>1</v>
      </c>
      <c r="F12" s="180">
        <v>0.16666666666666666</v>
      </c>
      <c r="G12" s="177">
        <v>3930</v>
      </c>
      <c r="H12" s="181">
        <f>4990*0.969</f>
        <v>4835.3099999999995</v>
      </c>
      <c r="I12" s="182">
        <f>H12/G12-1</f>
        <v>0.230358778625954</v>
      </c>
      <c r="J12" s="183">
        <f t="shared" ref="J12:J32" si="2">H12*0.9</f>
        <v>4351.7789999999995</v>
      </c>
      <c r="K12" s="172">
        <v>1980.0000000000002</v>
      </c>
    </row>
    <row r="13" spans="2:11" s="162" customFormat="1" ht="35.1" customHeight="1">
      <c r="B13" s="173">
        <v>54070110</v>
      </c>
      <c r="C13" s="174" t="s">
        <v>351</v>
      </c>
      <c r="D13" s="175" t="s">
        <v>350</v>
      </c>
      <c r="E13" s="176">
        <v>1</v>
      </c>
      <c r="F13" s="180">
        <v>0.16666666666666666</v>
      </c>
      <c r="G13" s="177">
        <v>2358</v>
      </c>
      <c r="H13" s="181">
        <f>3780*1.05</f>
        <v>3969</v>
      </c>
      <c r="I13" s="178">
        <f t="shared" ref="I13:I33" si="3">H13/G13-1</f>
        <v>0.68320610687022909</v>
      </c>
      <c r="J13" s="183">
        <f t="shared" si="2"/>
        <v>3572.1</v>
      </c>
      <c r="K13" s="172">
        <v>1980.0000000000002</v>
      </c>
    </row>
    <row r="14" spans="2:11" s="162" customFormat="1" ht="35.1" customHeight="1">
      <c r="B14" s="173">
        <v>54070120</v>
      </c>
      <c r="C14" s="174" t="s">
        <v>352</v>
      </c>
      <c r="D14" s="175" t="s">
        <v>350</v>
      </c>
      <c r="E14" s="176">
        <v>1</v>
      </c>
      <c r="F14" s="180">
        <v>0.16666666666666666</v>
      </c>
      <c r="G14" s="177">
        <v>2685</v>
      </c>
      <c r="H14" s="181">
        <f>4820*0.983</f>
        <v>4738.0599999999995</v>
      </c>
      <c r="I14" s="178">
        <f>H14/G14-1</f>
        <v>0.76464059590316547</v>
      </c>
      <c r="J14" s="183">
        <f t="shared" si="2"/>
        <v>4264.2539999999999</v>
      </c>
      <c r="K14" s="172">
        <v>1980.0000000000002</v>
      </c>
    </row>
    <row r="15" spans="2:11" s="162" customFormat="1" ht="35.1" customHeight="1">
      <c r="B15" s="173">
        <v>54140342</v>
      </c>
      <c r="C15" s="174" t="s">
        <v>353</v>
      </c>
      <c r="D15" s="175" t="s">
        <v>350</v>
      </c>
      <c r="E15" s="176">
        <v>1</v>
      </c>
      <c r="F15" s="180">
        <v>0.16666666666666666</v>
      </c>
      <c r="G15" s="177">
        <v>3026</v>
      </c>
      <c r="H15" s="181">
        <f>H12</f>
        <v>4835.3099999999995</v>
      </c>
      <c r="I15" s="178">
        <f t="shared" si="3"/>
        <v>0.59792134831460664</v>
      </c>
      <c r="J15" s="183">
        <f t="shared" si="2"/>
        <v>4351.7789999999995</v>
      </c>
      <c r="K15" s="172">
        <v>1980.0000000000002</v>
      </c>
    </row>
    <row r="16" spans="2:11" s="162" customFormat="1" ht="35.1" customHeight="1">
      <c r="B16" s="173">
        <v>54140310</v>
      </c>
      <c r="C16" s="174" t="s">
        <v>354</v>
      </c>
      <c r="D16" s="175" t="s">
        <v>350</v>
      </c>
      <c r="E16" s="176">
        <v>1</v>
      </c>
      <c r="F16" s="180">
        <v>8.3333333333333329E-2</v>
      </c>
      <c r="G16" s="177">
        <v>3144</v>
      </c>
      <c r="H16" s="181">
        <f>G16*1.15</f>
        <v>3615.6</v>
      </c>
      <c r="I16" s="178">
        <f t="shared" si="3"/>
        <v>0.14999999999999991</v>
      </c>
      <c r="J16" s="183">
        <f t="shared" si="2"/>
        <v>3254.04</v>
      </c>
      <c r="K16" s="172">
        <v>1430.0000000000002</v>
      </c>
    </row>
    <row r="17" spans="2:11" s="162" customFormat="1" ht="35.1" customHeight="1">
      <c r="B17" s="173">
        <v>54140371</v>
      </c>
      <c r="C17" s="174" t="s">
        <v>355</v>
      </c>
      <c r="D17" s="175" t="s">
        <v>350</v>
      </c>
      <c r="E17" s="176">
        <v>1</v>
      </c>
      <c r="F17" s="180">
        <v>0.20833333333333334</v>
      </c>
      <c r="G17" s="177">
        <v>3746</v>
      </c>
      <c r="H17" s="181">
        <f>G17*1.3</f>
        <v>4869.8</v>
      </c>
      <c r="I17" s="178">
        <f>H17/G17-1</f>
        <v>0.30000000000000004</v>
      </c>
      <c r="J17" s="183">
        <f t="shared" si="2"/>
        <v>4382.8200000000006</v>
      </c>
      <c r="K17" s="172">
        <v>2530</v>
      </c>
    </row>
    <row r="18" spans="2:11" s="162" customFormat="1" ht="35.1" customHeight="1">
      <c r="B18" s="173">
        <v>54140341</v>
      </c>
      <c r="C18" s="174" t="s">
        <v>356</v>
      </c>
      <c r="D18" s="175" t="s">
        <v>350</v>
      </c>
      <c r="E18" s="176">
        <v>1</v>
      </c>
      <c r="F18" s="180">
        <v>8.3333333333333329E-2</v>
      </c>
      <c r="G18" s="177">
        <v>3068</v>
      </c>
      <c r="H18" s="181">
        <v>3068</v>
      </c>
      <c r="I18" s="182">
        <f t="shared" si="3"/>
        <v>0</v>
      </c>
      <c r="J18" s="183">
        <f t="shared" si="2"/>
        <v>2761.2000000000003</v>
      </c>
      <c r="K18" s="172">
        <v>1430.0000000000002</v>
      </c>
    </row>
    <row r="19" spans="2:11" s="162" customFormat="1" ht="35.1" customHeight="1">
      <c r="B19" s="173">
        <v>54140344</v>
      </c>
      <c r="C19" s="174" t="s">
        <v>357</v>
      </c>
      <c r="D19" s="175" t="s">
        <v>350</v>
      </c>
      <c r="E19" s="176">
        <v>1</v>
      </c>
      <c r="F19" s="180">
        <v>0.125</v>
      </c>
      <c r="G19" s="177">
        <v>0</v>
      </c>
      <c r="H19" s="181">
        <f>4140*0.984</f>
        <v>4073.7599999999998</v>
      </c>
      <c r="I19" s="182"/>
      <c r="J19" s="183">
        <f t="shared" si="2"/>
        <v>3666.384</v>
      </c>
      <c r="K19" s="172">
        <v>1980</v>
      </c>
    </row>
    <row r="20" spans="2:11" s="162" customFormat="1" ht="35.1" customHeight="1">
      <c r="B20" s="173">
        <v>54140006</v>
      </c>
      <c r="C20" s="174" t="s">
        <v>358</v>
      </c>
      <c r="D20" s="175" t="s">
        <v>350</v>
      </c>
      <c r="E20" s="176">
        <v>1</v>
      </c>
      <c r="F20" s="180">
        <v>0.16666666666666666</v>
      </c>
      <c r="G20" s="177">
        <v>4268</v>
      </c>
      <c r="H20" s="181">
        <f>5450*0.94</f>
        <v>5123</v>
      </c>
      <c r="I20" s="182">
        <f t="shared" si="3"/>
        <v>0.20032802249297088</v>
      </c>
      <c r="J20" s="183">
        <f t="shared" si="2"/>
        <v>4610.7</v>
      </c>
      <c r="K20" s="172">
        <v>1980.0000000000002</v>
      </c>
    </row>
    <row r="21" spans="2:11" s="162" customFormat="1" ht="35.1" customHeight="1">
      <c r="B21" s="173">
        <v>54070121</v>
      </c>
      <c r="C21" s="174" t="s">
        <v>359</v>
      </c>
      <c r="D21" s="175" t="s">
        <v>350</v>
      </c>
      <c r="E21" s="176">
        <v>1</v>
      </c>
      <c r="F21" s="180">
        <v>0.25</v>
      </c>
      <c r="G21" s="177">
        <v>5602</v>
      </c>
      <c r="H21" s="181">
        <f>6660*0.996</f>
        <v>6633.36</v>
      </c>
      <c r="I21" s="182">
        <f t="shared" si="3"/>
        <v>0.18410567654409138</v>
      </c>
      <c r="J21" s="183">
        <f t="shared" si="2"/>
        <v>5970.0239999999994</v>
      </c>
      <c r="K21" s="172">
        <v>2530</v>
      </c>
    </row>
    <row r="22" spans="2:11" s="162" customFormat="1" ht="35.1" customHeight="1">
      <c r="B22" s="173">
        <v>54130130</v>
      </c>
      <c r="C22" s="174" t="s">
        <v>360</v>
      </c>
      <c r="D22" s="175" t="s">
        <v>350</v>
      </c>
      <c r="E22" s="176">
        <v>1</v>
      </c>
      <c r="F22" s="180">
        <v>4.1666666666666664E-2</v>
      </c>
      <c r="G22" s="177">
        <v>1310</v>
      </c>
      <c r="H22" s="181">
        <f>G22*1.5</f>
        <v>1965</v>
      </c>
      <c r="I22" s="178">
        <f t="shared" si="3"/>
        <v>0.5</v>
      </c>
      <c r="J22" s="183">
        <f t="shared" si="2"/>
        <v>1768.5</v>
      </c>
      <c r="K22" s="172">
        <v>1320</v>
      </c>
    </row>
    <row r="23" spans="2:11" s="162" customFormat="1" ht="35.1" customHeight="1">
      <c r="B23" s="173">
        <v>54140270</v>
      </c>
      <c r="C23" s="174" t="s">
        <v>361</v>
      </c>
      <c r="D23" s="175" t="s">
        <v>350</v>
      </c>
      <c r="E23" s="176">
        <v>1</v>
      </c>
      <c r="F23" s="180">
        <v>0.16666666666666666</v>
      </c>
      <c r="G23" s="177">
        <v>3930</v>
      </c>
      <c r="H23" s="181">
        <f>5260*0.971</f>
        <v>5107.46</v>
      </c>
      <c r="I23" s="182">
        <f t="shared" si="3"/>
        <v>0.29960814249363876</v>
      </c>
      <c r="J23" s="183">
        <f t="shared" si="2"/>
        <v>4596.7139999999999</v>
      </c>
      <c r="K23" s="172">
        <v>1980.0000000000002</v>
      </c>
    </row>
    <row r="24" spans="2:11" s="162" customFormat="1" ht="35.1" customHeight="1">
      <c r="B24" s="173">
        <v>54140280</v>
      </c>
      <c r="C24" s="174" t="s">
        <v>362</v>
      </c>
      <c r="D24" s="175" t="s">
        <v>350</v>
      </c>
      <c r="E24" s="176">
        <v>1</v>
      </c>
      <c r="F24" s="167">
        <v>0.125</v>
      </c>
      <c r="G24" s="177">
        <v>3565</v>
      </c>
      <c r="H24" s="181">
        <f>4140*0.99</f>
        <v>4098.6000000000004</v>
      </c>
      <c r="I24" s="182">
        <f t="shared" si="3"/>
        <v>0.14967741935483891</v>
      </c>
      <c r="J24" s="183">
        <f t="shared" si="2"/>
        <v>3688.7400000000002</v>
      </c>
      <c r="K24" s="172">
        <v>1980.0000000000002</v>
      </c>
    </row>
    <row r="25" spans="2:11" s="162" customFormat="1" ht="35.1" customHeight="1">
      <c r="B25" s="173">
        <v>54070123</v>
      </c>
      <c r="C25" s="174" t="s">
        <v>363</v>
      </c>
      <c r="D25" s="175" t="s">
        <v>350</v>
      </c>
      <c r="E25" s="176">
        <v>1</v>
      </c>
      <c r="F25" s="180">
        <v>0.16666666666666666</v>
      </c>
      <c r="G25" s="177">
        <v>3471.5</v>
      </c>
      <c r="H25" s="181">
        <f>4700*0.986</f>
        <v>4634.2</v>
      </c>
      <c r="I25" s="182">
        <f t="shared" si="3"/>
        <v>0.33492726487109303</v>
      </c>
      <c r="J25" s="183">
        <f t="shared" si="2"/>
        <v>4170.78</v>
      </c>
      <c r="K25" s="172">
        <v>2640</v>
      </c>
    </row>
    <row r="26" spans="2:11" s="162" customFormat="1" ht="35.1" customHeight="1">
      <c r="B26" s="173">
        <v>54040180</v>
      </c>
      <c r="C26" s="174" t="s">
        <v>364</v>
      </c>
      <c r="D26" s="175" t="s">
        <v>350</v>
      </c>
      <c r="E26" s="176">
        <v>1</v>
      </c>
      <c r="F26" s="180">
        <v>0.20833333333333334</v>
      </c>
      <c r="G26" s="177">
        <v>4192</v>
      </c>
      <c r="H26" s="181">
        <f>H25+1055.6</f>
        <v>5689.7999999999993</v>
      </c>
      <c r="I26" s="182">
        <f t="shared" si="3"/>
        <v>0.35729961832061052</v>
      </c>
      <c r="J26" s="183">
        <f t="shared" si="2"/>
        <v>5120.82</v>
      </c>
      <c r="K26" s="172">
        <v>3080.0000000000005</v>
      </c>
    </row>
    <row r="27" spans="2:11" s="162" customFormat="1" ht="35.1" customHeight="1">
      <c r="B27" s="173">
        <v>54050049</v>
      </c>
      <c r="C27" s="184" t="s">
        <v>365</v>
      </c>
      <c r="D27" s="175" t="s">
        <v>350</v>
      </c>
      <c r="E27" s="176">
        <v>1</v>
      </c>
      <c r="F27" s="180">
        <v>8.3333333333333329E-2</v>
      </c>
      <c r="G27" s="177">
        <v>2620</v>
      </c>
      <c r="H27" s="181">
        <f>2850*0.985</f>
        <v>2807.25</v>
      </c>
      <c r="I27" s="178">
        <f t="shared" si="3"/>
        <v>7.1469465648855035E-2</v>
      </c>
      <c r="J27" s="183">
        <f t="shared" si="2"/>
        <v>2526.5250000000001</v>
      </c>
      <c r="K27" s="172">
        <v>1100</v>
      </c>
    </row>
    <row r="28" spans="2:11" s="162" customFormat="1" ht="35.1" customHeight="1">
      <c r="B28" s="173">
        <v>54040210</v>
      </c>
      <c r="C28" s="174" t="s">
        <v>366</v>
      </c>
      <c r="D28" s="175" t="s">
        <v>350</v>
      </c>
      <c r="E28" s="176">
        <v>1</v>
      </c>
      <c r="F28" s="180">
        <v>8.3333333333333329E-2</v>
      </c>
      <c r="G28" s="177">
        <v>2149</v>
      </c>
      <c r="H28" s="181">
        <f>2850*0.99</f>
        <v>2821.5</v>
      </c>
      <c r="I28" s="178">
        <f t="shared" si="3"/>
        <v>0.31293624941833409</v>
      </c>
      <c r="J28" s="183">
        <f t="shared" si="2"/>
        <v>2539.35</v>
      </c>
      <c r="K28" s="172">
        <v>1320</v>
      </c>
    </row>
    <row r="29" spans="2:11" s="162" customFormat="1" ht="35.1" customHeight="1">
      <c r="B29" s="173">
        <v>54140300</v>
      </c>
      <c r="C29" s="174" t="s">
        <v>367</v>
      </c>
      <c r="D29" s="175" t="s">
        <v>350</v>
      </c>
      <c r="E29" s="176">
        <v>1</v>
      </c>
      <c r="F29" s="180">
        <v>8.3333333333333329E-2</v>
      </c>
      <c r="G29" s="177">
        <v>2620</v>
      </c>
      <c r="H29" s="181">
        <f>3290*0.989</f>
        <v>3253.81</v>
      </c>
      <c r="I29" s="182">
        <f t="shared" si="3"/>
        <v>0.2419122137404579</v>
      </c>
      <c r="J29" s="183">
        <f t="shared" si="2"/>
        <v>2928.4290000000001</v>
      </c>
      <c r="K29" s="172">
        <v>1320</v>
      </c>
    </row>
    <row r="30" spans="2:11" s="162" customFormat="1" ht="35.1" customHeight="1">
      <c r="B30" s="173">
        <v>54140372</v>
      </c>
      <c r="C30" s="174" t="s">
        <v>368</v>
      </c>
      <c r="D30" s="175" t="s">
        <v>350</v>
      </c>
      <c r="E30" s="176">
        <v>1</v>
      </c>
      <c r="F30" s="180">
        <v>8.3333333333333329E-2</v>
      </c>
      <c r="G30" s="177">
        <v>3144</v>
      </c>
      <c r="H30" s="181">
        <f>3780*0.985</f>
        <v>3723.2999999999997</v>
      </c>
      <c r="I30" s="178">
        <f t="shared" si="3"/>
        <v>0.18425572519083966</v>
      </c>
      <c r="J30" s="183">
        <f t="shared" si="2"/>
        <v>3350.97</v>
      </c>
      <c r="K30" s="172">
        <v>1430.0000000000002</v>
      </c>
    </row>
    <row r="31" spans="2:11" s="162" customFormat="1" ht="35.1" customHeight="1">
      <c r="B31" s="173">
        <v>54130140</v>
      </c>
      <c r="C31" s="174" t="s">
        <v>329</v>
      </c>
      <c r="D31" s="175" t="s">
        <v>350</v>
      </c>
      <c r="E31" s="176">
        <v>1</v>
      </c>
      <c r="F31" s="180">
        <v>8.3333333333333329E-2</v>
      </c>
      <c r="G31" s="177">
        <v>2096</v>
      </c>
      <c r="H31" s="181">
        <f>G31*1.24</f>
        <v>2599.04</v>
      </c>
      <c r="I31" s="178">
        <f t="shared" si="3"/>
        <v>0.24</v>
      </c>
      <c r="J31" s="183">
        <f t="shared" si="2"/>
        <v>2339.136</v>
      </c>
      <c r="K31" s="172">
        <v>1320</v>
      </c>
    </row>
    <row r="32" spans="2:11" s="162" customFormat="1" ht="35.1" customHeight="1">
      <c r="B32" s="173">
        <v>54140373</v>
      </c>
      <c r="C32" s="174" t="s">
        <v>369</v>
      </c>
      <c r="D32" s="175" t="s">
        <v>350</v>
      </c>
      <c r="E32" s="176">
        <v>1</v>
      </c>
      <c r="F32" s="180">
        <v>8.3333333333333329E-2</v>
      </c>
      <c r="G32" s="177">
        <v>3144</v>
      </c>
      <c r="H32" s="181">
        <f>4140*0.95</f>
        <v>3933</v>
      </c>
      <c r="I32" s="178">
        <f t="shared" si="3"/>
        <v>0.25095419847328237</v>
      </c>
      <c r="J32" s="183">
        <f t="shared" si="2"/>
        <v>3539.7000000000003</v>
      </c>
      <c r="K32" s="172">
        <v>1320</v>
      </c>
    </row>
    <row r="33" spans="2:13" s="185" customFormat="1" ht="35.1" customHeight="1">
      <c r="B33" s="173">
        <v>54090170</v>
      </c>
      <c r="C33" s="174" t="s">
        <v>370</v>
      </c>
      <c r="D33" s="175" t="s">
        <v>350</v>
      </c>
      <c r="E33" s="176">
        <v>1</v>
      </c>
      <c r="F33" s="180">
        <v>8.3333333333333329E-2</v>
      </c>
      <c r="G33" s="177">
        <v>3144</v>
      </c>
      <c r="H33" s="181">
        <f>3780*0.973</f>
        <v>3677.94</v>
      </c>
      <c r="I33" s="178">
        <f t="shared" si="3"/>
        <v>0.16982824427480914</v>
      </c>
      <c r="J33" s="183">
        <f>H33*0.9</f>
        <v>3310.1460000000002</v>
      </c>
      <c r="K33" s="172">
        <v>1320</v>
      </c>
      <c r="L33" s="162"/>
      <c r="M33" s="162"/>
    </row>
    <row r="34" spans="2:13" s="162" customFormat="1" ht="35.1" customHeight="1" thickBot="1">
      <c r="B34" s="186">
        <v>54040190</v>
      </c>
      <c r="C34" s="187" t="s">
        <v>371</v>
      </c>
      <c r="D34" s="188" t="s">
        <v>350</v>
      </c>
      <c r="E34" s="189">
        <v>1</v>
      </c>
      <c r="F34" s="190">
        <v>0.20833333333333334</v>
      </c>
      <c r="G34" s="191">
        <v>0</v>
      </c>
      <c r="H34" s="192">
        <f>4140*1.44</f>
        <v>5961.5999999999995</v>
      </c>
      <c r="I34" s="193"/>
      <c r="J34" s="192">
        <f>H34*0.9</f>
        <v>5365.44</v>
      </c>
      <c r="K34" s="194">
        <v>3080</v>
      </c>
    </row>
  </sheetData>
  <sheetProtection algorithmName="SHA-512" hashValue="8u0oKBwBKCM2nyM7G128B0vBkU9u/WgA+60TTKwtZ0xA7lnyNq2pYBatIYYN8hLlCY6Icbybt6KUcwNtihlGAQ==" saltValue="yubgwsYoqPirGegZpzbJpg==" spinCount="100000" sheet="1" objects="1" scenarios="1"/>
  <mergeCells count="3">
    <mergeCell ref="E1:K1"/>
    <mergeCell ref="E2:K2"/>
    <mergeCell ref="B3:K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8E4EE-914A-4ADB-956B-5A635598441B}">
  <dimension ref="A1:Q37"/>
  <sheetViews>
    <sheetView topLeftCell="A2" zoomScale="80" zoomScaleNormal="80" workbookViewId="0">
      <selection activeCell="B2" sqref="B2:J2"/>
    </sheetView>
  </sheetViews>
  <sheetFormatPr defaultColWidth="0" defaultRowHeight="51" customHeight="1"/>
  <cols>
    <col min="1" max="1" width="1.28515625" style="62" customWidth="1"/>
    <col min="2" max="2" width="15.140625" style="62" customWidth="1"/>
    <col min="3" max="3" width="62.7109375" style="62" customWidth="1"/>
    <col min="4" max="4" width="20.5703125" style="62" customWidth="1"/>
    <col min="5" max="5" width="19" style="62" customWidth="1"/>
    <col min="6" max="6" width="28.28515625" style="62" customWidth="1"/>
    <col min="7" max="7" width="17.5703125" style="63" customWidth="1"/>
    <col min="8" max="8" width="28.5703125" style="63" customWidth="1"/>
    <col min="9" max="9" width="24.28515625" style="64" customWidth="1"/>
    <col min="10" max="10" width="25.7109375" style="64" customWidth="1"/>
    <col min="11" max="11" width="2.85546875" style="65" customWidth="1"/>
    <col min="12" max="12" width="22.42578125" style="64" customWidth="1"/>
    <col min="13" max="13" width="21.42578125" style="64" customWidth="1"/>
    <col min="14" max="14" width="2.42578125" style="62" customWidth="1"/>
    <col min="15" max="15" width="0.7109375" style="62" customWidth="1"/>
    <col min="16" max="16" width="16.7109375" style="62" customWidth="1"/>
    <col min="17" max="17" width="23.5703125" style="62" customWidth="1"/>
    <col min="18" max="16382" width="9.140625" style="62" customWidth="1"/>
    <col min="16383" max="16384" width="9.28515625" style="62" customWidth="1"/>
  </cols>
  <sheetData>
    <row r="1" spans="1:17" ht="51" customHeight="1" thickBot="1">
      <c r="K1" s="64"/>
    </row>
    <row r="2" spans="1:17" s="66" customFormat="1" ht="51" customHeight="1" thickBot="1">
      <c r="B2" s="67" t="s">
        <v>258</v>
      </c>
      <c r="C2" s="68"/>
      <c r="D2" s="68"/>
      <c r="E2" s="68"/>
      <c r="F2" s="68"/>
      <c r="G2" s="68"/>
      <c r="H2" s="68"/>
      <c r="I2" s="68"/>
      <c r="J2" s="69"/>
      <c r="K2" s="70"/>
      <c r="L2" s="71"/>
      <c r="M2" s="72"/>
      <c r="N2" s="73"/>
      <c r="O2" s="73"/>
      <c r="P2" s="73"/>
      <c r="Q2" s="74"/>
    </row>
    <row r="3" spans="1:17" s="66" customFormat="1" ht="51" customHeight="1" thickBot="1">
      <c r="B3" s="75" t="s">
        <v>259</v>
      </c>
      <c r="C3" s="76"/>
      <c r="D3" s="76"/>
      <c r="E3" s="76"/>
      <c r="F3" s="76"/>
      <c r="G3" s="76"/>
      <c r="H3" s="76"/>
      <c r="I3" s="77" t="s">
        <v>260</v>
      </c>
      <c r="J3" s="78"/>
      <c r="K3" s="79"/>
      <c r="L3" s="80" t="s">
        <v>261</v>
      </c>
      <c r="M3" s="81"/>
      <c r="P3" s="82" t="s">
        <v>262</v>
      </c>
      <c r="Q3" s="83"/>
    </row>
    <row r="4" spans="1:17" s="84" customFormat="1" ht="128.25" customHeight="1" thickBot="1">
      <c r="B4" s="85" t="s">
        <v>263</v>
      </c>
      <c r="C4" s="86" t="s">
        <v>264</v>
      </c>
      <c r="D4" s="86" t="s">
        <v>265</v>
      </c>
      <c r="E4" s="86" t="s">
        <v>266</v>
      </c>
      <c r="F4" s="86" t="s">
        <v>267</v>
      </c>
      <c r="G4" s="86" t="s">
        <v>26</v>
      </c>
      <c r="H4" s="87" t="s">
        <v>268</v>
      </c>
      <c r="I4" s="88" t="s">
        <v>269</v>
      </c>
      <c r="J4" s="89" t="s">
        <v>270</v>
      </c>
      <c r="K4" s="90" t="s">
        <v>271</v>
      </c>
      <c r="L4" s="91" t="s">
        <v>272</v>
      </c>
      <c r="M4" s="92" t="s">
        <v>273</v>
      </c>
      <c r="P4" s="93" t="s">
        <v>261</v>
      </c>
      <c r="Q4" s="94"/>
    </row>
    <row r="5" spans="1:17" s="95" customFormat="1" ht="51" customHeight="1">
      <c r="B5" s="96">
        <v>54040222</v>
      </c>
      <c r="C5" s="97" t="s">
        <v>274</v>
      </c>
      <c r="D5" s="97" t="s">
        <v>275</v>
      </c>
      <c r="E5" s="97" t="s">
        <v>276</v>
      </c>
      <c r="F5" s="98" t="s">
        <v>277</v>
      </c>
      <c r="G5" s="99" t="s">
        <v>278</v>
      </c>
      <c r="H5" s="100">
        <v>8.3333333333333329E-2</v>
      </c>
      <c r="I5" s="101">
        <v>2655.7200000000003</v>
      </c>
      <c r="J5" s="102">
        <f>Tabela2[[#This Row],[Volor Hospitalar (R$)
]]*0.4</f>
        <v>1062.2880000000002</v>
      </c>
      <c r="K5" s="103"/>
      <c r="L5" s="104">
        <f>Tabela2[[#This Row],[Volor Hospitalar (R$)
]]*0.9</f>
        <v>2390.1480000000001</v>
      </c>
      <c r="M5" s="105">
        <f>Tabela2[[#This Row],[Valor Hospitalar com desconto, valido somente nas datas ao lado
(R$)]]*0.4</f>
        <v>956.05920000000015</v>
      </c>
      <c r="P5" s="106" t="s">
        <v>279</v>
      </c>
      <c r="Q5" s="107" t="s">
        <v>280</v>
      </c>
    </row>
    <row r="6" spans="1:17" s="95" customFormat="1" ht="51" customHeight="1">
      <c r="A6" s="108"/>
      <c r="B6" s="109">
        <v>54100181</v>
      </c>
      <c r="C6" s="97" t="s">
        <v>281</v>
      </c>
      <c r="D6" s="97" t="s">
        <v>275</v>
      </c>
      <c r="E6" s="110" t="s">
        <v>276</v>
      </c>
      <c r="F6" s="98" t="s">
        <v>277</v>
      </c>
      <c r="G6" s="111" t="s">
        <v>278</v>
      </c>
      <c r="H6" s="100">
        <v>4.1666666666666664E-2</v>
      </c>
      <c r="I6" s="112">
        <v>1969.0560000000003</v>
      </c>
      <c r="J6" s="113">
        <f>Tabela2[[#This Row],[Volor Hospitalar (R$)
]]*0.4</f>
        <v>787.6224000000002</v>
      </c>
      <c r="K6" s="103"/>
      <c r="L6" s="104">
        <f>Tabela2[[#This Row],[Volor Hospitalar (R$)
]]*0.9</f>
        <v>1772.1504000000002</v>
      </c>
      <c r="M6" s="105">
        <f>Tabela2[[#This Row],[Valor Hospitalar com desconto, valido somente nas datas ao lado
(R$)]]*0.4</f>
        <v>708.86016000000018</v>
      </c>
      <c r="P6" s="106" t="s">
        <v>282</v>
      </c>
      <c r="Q6" s="107" t="s">
        <v>283</v>
      </c>
    </row>
    <row r="7" spans="1:17" s="95" customFormat="1" ht="51" customHeight="1">
      <c r="B7" s="109">
        <v>54100182</v>
      </c>
      <c r="C7" s="110" t="s">
        <v>284</v>
      </c>
      <c r="D7" s="97" t="s">
        <v>275</v>
      </c>
      <c r="E7" s="97" t="s">
        <v>276</v>
      </c>
      <c r="F7" s="98" t="s">
        <v>277</v>
      </c>
      <c r="G7" s="111" t="s">
        <v>278</v>
      </c>
      <c r="H7" s="114">
        <v>8.3333333333333329E-2</v>
      </c>
      <c r="I7" s="115">
        <v>2655.7200000000003</v>
      </c>
      <c r="J7" s="113">
        <f>Tabela2[[#This Row],[Volor Hospitalar (R$)
]]*0.4</f>
        <v>1062.2880000000002</v>
      </c>
      <c r="K7" s="103"/>
      <c r="L7" s="104">
        <f>Tabela2[[#This Row],[Volor Hospitalar (R$)
]]*0.9</f>
        <v>2390.1480000000001</v>
      </c>
      <c r="M7" s="105">
        <f>Tabela2[[#This Row],[Valor Hospitalar com desconto, valido somente nas datas ao lado
(R$)]]*0.4</f>
        <v>956.05920000000015</v>
      </c>
      <c r="P7" s="116" t="s">
        <v>285</v>
      </c>
      <c r="Q7" s="107" t="s">
        <v>286</v>
      </c>
    </row>
    <row r="8" spans="1:17" s="95" customFormat="1" ht="51" customHeight="1">
      <c r="B8" s="109">
        <v>54140375</v>
      </c>
      <c r="C8" s="110" t="s">
        <v>287</v>
      </c>
      <c r="D8" s="97" t="s">
        <v>288</v>
      </c>
      <c r="E8" s="97" t="s">
        <v>276</v>
      </c>
      <c r="F8" s="98" t="s">
        <v>277</v>
      </c>
      <c r="G8" s="111" t="s">
        <v>278</v>
      </c>
      <c r="H8" s="114">
        <v>4.1666666666666664E-2</v>
      </c>
      <c r="I8" s="115">
        <v>1659</v>
      </c>
      <c r="J8" s="113">
        <v>0</v>
      </c>
      <c r="K8" s="103"/>
      <c r="L8" s="104">
        <f>Tabela2[[#This Row],[Volor Hospitalar (R$)
]]*0.9</f>
        <v>1493.1000000000001</v>
      </c>
      <c r="M8" s="105">
        <v>0</v>
      </c>
      <c r="P8" s="116" t="s">
        <v>289</v>
      </c>
      <c r="Q8" s="107">
        <v>1</v>
      </c>
    </row>
    <row r="9" spans="1:17" s="95" customFormat="1" ht="51" customHeight="1">
      <c r="A9" s="108"/>
      <c r="B9" s="117">
        <v>54040210</v>
      </c>
      <c r="C9" s="118" t="s">
        <v>290</v>
      </c>
      <c r="D9" s="119" t="s">
        <v>275</v>
      </c>
      <c r="E9" s="119" t="s">
        <v>276</v>
      </c>
      <c r="F9" s="120" t="s">
        <v>277</v>
      </c>
      <c r="G9" s="111" t="s">
        <v>278</v>
      </c>
      <c r="H9" s="121">
        <v>8.3333333333333329E-2</v>
      </c>
      <c r="I9" s="122">
        <v>2243.808</v>
      </c>
      <c r="J9" s="123">
        <f>Tabela2[[#This Row],[Volor Hospitalar (R$)
]]*0.4</f>
        <v>897.52320000000009</v>
      </c>
      <c r="K9" s="103"/>
      <c r="L9" s="104">
        <f>Tabela2[[#This Row],[Volor Hospitalar (R$)
]]*0.9</f>
        <v>2019.4272000000001</v>
      </c>
      <c r="M9" s="105">
        <f>Tabela2[[#This Row],[Valor Hospitalar com desconto, valido somente nas datas ao lado
(R$)]]*0.4</f>
        <v>807.77088000000003</v>
      </c>
      <c r="P9" s="116" t="s">
        <v>291</v>
      </c>
      <c r="Q9" s="107" t="s">
        <v>292</v>
      </c>
    </row>
    <row r="10" spans="1:17" s="95" customFormat="1" ht="51" customHeight="1">
      <c r="B10" s="124">
        <v>54140376</v>
      </c>
      <c r="C10" s="97" t="s">
        <v>293</v>
      </c>
      <c r="D10" s="97" t="s">
        <v>275</v>
      </c>
      <c r="E10" s="97" t="s">
        <v>294</v>
      </c>
      <c r="F10" s="98" t="s">
        <v>295</v>
      </c>
      <c r="G10" s="99" t="s">
        <v>295</v>
      </c>
      <c r="H10" s="100">
        <v>4.1666666666666664E-2</v>
      </c>
      <c r="I10" s="112">
        <v>3546.59</v>
      </c>
      <c r="J10" s="125">
        <f>Tabela2[[#This Row],[Volor Hospitalar (R$)
]]*0.4</f>
        <v>1418.6360000000002</v>
      </c>
      <c r="K10" s="103"/>
      <c r="L10" s="104">
        <f>Tabela2[[#This Row],[Volor Hospitalar (R$)
]]*0.9</f>
        <v>3191.931</v>
      </c>
      <c r="M10" s="105">
        <f>Tabela2[[#This Row],[Valor Hospitalar com desconto, valido somente nas datas ao lado
(R$)]]*0.4</f>
        <v>1276.7724000000001</v>
      </c>
      <c r="P10" s="116" t="s">
        <v>296</v>
      </c>
      <c r="Q10" s="107" t="s">
        <v>297</v>
      </c>
    </row>
    <row r="11" spans="1:17" s="95" customFormat="1" ht="51" customHeight="1">
      <c r="A11" s="108"/>
      <c r="B11" s="109">
        <v>54012000</v>
      </c>
      <c r="C11" s="110" t="s">
        <v>298</v>
      </c>
      <c r="D11" s="110" t="s">
        <v>299</v>
      </c>
      <c r="E11" s="110" t="s">
        <v>294</v>
      </c>
      <c r="F11" s="98" t="s">
        <v>295</v>
      </c>
      <c r="G11" s="126" t="s">
        <v>295</v>
      </c>
      <c r="H11" s="114">
        <v>8.3333333333333329E-2</v>
      </c>
      <c r="I11" s="115">
        <v>4233.4704000000002</v>
      </c>
      <c r="J11" s="113">
        <f>Tabela2[[#This Row],[Volor Hospitalar (R$)
]]*0.4</f>
        <v>1693.3881600000002</v>
      </c>
      <c r="K11" s="103"/>
      <c r="L11" s="104">
        <f>Tabela2[[#This Row],[Volor Hospitalar (R$)
]]*0.9</f>
        <v>3810.12336</v>
      </c>
      <c r="M11" s="105">
        <f>Tabela2[[#This Row],[Valor Hospitalar com desconto, valido somente nas datas ao lado
(R$)]]*0.4</f>
        <v>1524.049344</v>
      </c>
      <c r="P11" s="116" t="s">
        <v>300</v>
      </c>
      <c r="Q11" s="107" t="s">
        <v>301</v>
      </c>
    </row>
    <row r="12" spans="1:17" s="95" customFormat="1" ht="51" customHeight="1">
      <c r="A12" s="108"/>
      <c r="B12" s="109">
        <v>54100180</v>
      </c>
      <c r="C12" s="110" t="s">
        <v>302</v>
      </c>
      <c r="D12" s="110" t="s">
        <v>299</v>
      </c>
      <c r="E12" s="110" t="s">
        <v>294</v>
      </c>
      <c r="F12" s="98" t="s">
        <v>295</v>
      </c>
      <c r="G12" s="126" t="s">
        <v>295</v>
      </c>
      <c r="H12" s="114">
        <v>4.1666666666666664E-2</v>
      </c>
      <c r="I12" s="115">
        <v>3546.5904000000005</v>
      </c>
      <c r="J12" s="113">
        <f>Tabela2[[#This Row],[Volor Hospitalar (R$)
]]*0.4</f>
        <v>1418.6361600000002</v>
      </c>
      <c r="K12" s="103"/>
      <c r="L12" s="104">
        <f>Tabela2[[#This Row],[Volor Hospitalar (R$)
]]*0.9</f>
        <v>3191.9313600000005</v>
      </c>
      <c r="M12" s="105">
        <f>Tabela2[[#This Row],[Valor Hospitalar com desconto, valido somente nas datas ao lado
(R$)]]*0.4</f>
        <v>1276.7725440000004</v>
      </c>
      <c r="P12" s="116" t="s">
        <v>303</v>
      </c>
      <c r="Q12" s="107" t="s">
        <v>304</v>
      </c>
    </row>
    <row r="13" spans="1:17" s="95" customFormat="1" ht="51" customHeight="1">
      <c r="A13" s="108"/>
      <c r="B13" s="109">
        <v>54100179</v>
      </c>
      <c r="C13" s="110" t="s">
        <v>305</v>
      </c>
      <c r="D13" s="110" t="s">
        <v>299</v>
      </c>
      <c r="E13" s="110" t="s">
        <v>294</v>
      </c>
      <c r="F13" s="98" t="s">
        <v>295</v>
      </c>
      <c r="G13" s="126" t="s">
        <v>295</v>
      </c>
      <c r="H13" s="114">
        <v>8.3333333333333329E-2</v>
      </c>
      <c r="I13" s="115">
        <v>4233.4704000000002</v>
      </c>
      <c r="J13" s="113">
        <f>Tabela2[[#This Row],[Volor Hospitalar (R$)
]]*0.4</f>
        <v>1693.3881600000002</v>
      </c>
      <c r="K13" s="103"/>
      <c r="L13" s="104">
        <f>Tabela2[[#This Row],[Volor Hospitalar (R$)
]]*0.9</f>
        <v>3810.12336</v>
      </c>
      <c r="M13" s="105">
        <f>Tabela2[[#This Row],[Valor Hospitalar com desconto, valido somente nas datas ao lado
(R$)]]*0.4</f>
        <v>1524.049344</v>
      </c>
      <c r="P13" s="116" t="s">
        <v>279</v>
      </c>
      <c r="Q13" s="107" t="s">
        <v>280</v>
      </c>
    </row>
    <row r="14" spans="1:17" s="95" customFormat="1" ht="51" customHeight="1" thickBot="1">
      <c r="B14" s="109">
        <v>54140330</v>
      </c>
      <c r="C14" s="110" t="s">
        <v>306</v>
      </c>
      <c r="D14" s="110" t="s">
        <v>299</v>
      </c>
      <c r="E14" s="110" t="s">
        <v>294</v>
      </c>
      <c r="F14" s="98" t="s">
        <v>295</v>
      </c>
      <c r="G14" s="126" t="s">
        <v>295</v>
      </c>
      <c r="H14" s="114">
        <v>8.3333333333333329E-2</v>
      </c>
      <c r="I14" s="115">
        <v>4233.4704000000002</v>
      </c>
      <c r="J14" s="113">
        <f>Tabela2[[#This Row],[Volor Hospitalar (R$)
]]*0.4</f>
        <v>1693.3881600000002</v>
      </c>
      <c r="K14" s="103"/>
      <c r="L14" s="104">
        <f>Tabela2[[#This Row],[Volor Hospitalar (R$)
]]*0.9</f>
        <v>3810.12336</v>
      </c>
      <c r="M14" s="105">
        <f>Tabela2[[#This Row],[Valor Hospitalar com desconto, valido somente nas datas ao lado
(R$)]]*0.4</f>
        <v>1524.049344</v>
      </c>
      <c r="P14" s="127" t="s">
        <v>307</v>
      </c>
      <c r="Q14" s="128" t="s">
        <v>308</v>
      </c>
    </row>
    <row r="15" spans="1:17" s="95" customFormat="1" ht="51" customHeight="1">
      <c r="B15" s="109">
        <v>54140250</v>
      </c>
      <c r="C15" s="110" t="s">
        <v>309</v>
      </c>
      <c r="D15" s="110" t="s">
        <v>299</v>
      </c>
      <c r="E15" s="110" t="s">
        <v>294</v>
      </c>
      <c r="F15" s="129" t="s">
        <v>310</v>
      </c>
      <c r="G15" s="126" t="s">
        <v>311</v>
      </c>
      <c r="H15" s="114">
        <v>0.16666666666666666</v>
      </c>
      <c r="I15" s="115">
        <v>7428.6072000000004</v>
      </c>
      <c r="J15" s="113">
        <f>Tabela2[[#This Row],[Volor Hospitalar (R$)
]]*0.4</f>
        <v>2971.4428800000005</v>
      </c>
      <c r="K15" s="103"/>
      <c r="L15" s="104">
        <f>Tabela2[[#This Row],[Volor Hospitalar (R$)
]]*0.9</f>
        <v>6685.7464800000007</v>
      </c>
      <c r="M15" s="105">
        <f>Tabela2[[#This Row],[Valor Hospitalar com desconto, valido somente nas datas ao lado
(R$)]]*0.4</f>
        <v>2674.2985920000006</v>
      </c>
      <c r="Q15" s="130"/>
    </row>
    <row r="16" spans="1:17" s="95" customFormat="1" ht="51" customHeight="1">
      <c r="B16" s="109">
        <v>54070110</v>
      </c>
      <c r="C16" s="110" t="s">
        <v>312</v>
      </c>
      <c r="D16" s="110" t="s">
        <v>299</v>
      </c>
      <c r="E16" s="110" t="s">
        <v>294</v>
      </c>
      <c r="F16" s="129" t="s">
        <v>310</v>
      </c>
      <c r="G16" s="126" t="s">
        <v>311</v>
      </c>
      <c r="H16" s="114">
        <v>0.16666666666666666</v>
      </c>
      <c r="I16" s="115">
        <v>7428.6072000000004</v>
      </c>
      <c r="J16" s="113">
        <f>Tabela2[[#This Row],[Volor Hospitalar (R$)
]]*0.4</f>
        <v>2971.4428800000005</v>
      </c>
      <c r="K16" s="103"/>
      <c r="L16" s="104">
        <f>Tabela2[[#This Row],[Volor Hospitalar (R$)
]]*0.9</f>
        <v>6685.7464800000007</v>
      </c>
      <c r="M16" s="105">
        <f>Tabela2[[#This Row],[Valor Hospitalar com desconto, valido somente nas datas ao lado
(R$)]]*0.4</f>
        <v>2674.2985920000006</v>
      </c>
      <c r="P16" s="131"/>
      <c r="Q16" s="132"/>
    </row>
    <row r="17" spans="1:17" s="95" customFormat="1" ht="51" customHeight="1">
      <c r="B17" s="109">
        <v>54140381</v>
      </c>
      <c r="C17" s="110" t="s">
        <v>313</v>
      </c>
      <c r="D17" s="110" t="s">
        <v>299</v>
      </c>
      <c r="E17" s="110" t="s">
        <v>294</v>
      </c>
      <c r="F17" s="129" t="s">
        <v>310</v>
      </c>
      <c r="G17" s="126" t="s">
        <v>311</v>
      </c>
      <c r="H17" s="114">
        <v>0.20833333333333334</v>
      </c>
      <c r="I17" s="115">
        <v>10683</v>
      </c>
      <c r="J17" s="113">
        <f>Tabela2[[#This Row],[Volor Hospitalar (R$)
]]*0.4</f>
        <v>4273.2</v>
      </c>
      <c r="K17" s="103"/>
      <c r="L17" s="104">
        <f>Tabela2[[#This Row],[Volor Hospitalar (R$)
]]*0.9</f>
        <v>9614.7000000000007</v>
      </c>
      <c r="M17" s="105">
        <f>Tabela2[[#This Row],[Valor Hospitalar com desconto, valido somente nas datas ao lado
(R$)]]*0.4</f>
        <v>3845.8800000000006</v>
      </c>
      <c r="Q17" s="130"/>
    </row>
    <row r="18" spans="1:17" s="95" customFormat="1" ht="51" customHeight="1">
      <c r="B18" s="109">
        <v>54070120</v>
      </c>
      <c r="C18" s="110" t="s">
        <v>314</v>
      </c>
      <c r="D18" s="110" t="s">
        <v>299</v>
      </c>
      <c r="E18" s="110" t="s">
        <v>294</v>
      </c>
      <c r="F18" s="129" t="s">
        <v>310</v>
      </c>
      <c r="G18" s="126" t="s">
        <v>311</v>
      </c>
      <c r="H18" s="114">
        <v>0.16666666666666666</v>
      </c>
      <c r="I18" s="115">
        <v>7428.6072000000004</v>
      </c>
      <c r="J18" s="113">
        <f>Tabela2[[#This Row],[Volor Hospitalar (R$)
]]*0.4</f>
        <v>2971.4428800000005</v>
      </c>
      <c r="K18" s="103"/>
      <c r="L18" s="104">
        <f>Tabela2[[#This Row],[Volor Hospitalar (R$)
]]*0.9</f>
        <v>6685.7464800000007</v>
      </c>
      <c r="M18" s="105">
        <f>Tabela2[[#This Row],[Valor Hospitalar com desconto, valido somente nas datas ao lado
(R$)]]*0.4</f>
        <v>2674.2985920000006</v>
      </c>
      <c r="Q18" s="130"/>
    </row>
    <row r="19" spans="1:17" s="95" customFormat="1" ht="51" customHeight="1">
      <c r="B19" s="109">
        <v>54140310</v>
      </c>
      <c r="C19" s="110" t="s">
        <v>315</v>
      </c>
      <c r="D19" s="110" t="s">
        <v>299</v>
      </c>
      <c r="E19" s="110" t="s">
        <v>294</v>
      </c>
      <c r="F19" s="98" t="s">
        <v>295</v>
      </c>
      <c r="G19" s="126" t="s">
        <v>295</v>
      </c>
      <c r="H19" s="114">
        <v>8.3333333333333329E-2</v>
      </c>
      <c r="I19" s="115">
        <v>4346.424</v>
      </c>
      <c r="J19" s="113">
        <f>Tabela2[[#This Row],[Volor Hospitalar (R$)
]]*0.4</f>
        <v>1738.5696</v>
      </c>
      <c r="K19" s="103"/>
      <c r="L19" s="104">
        <f>Tabela2[[#This Row],[Volor Hospitalar (R$)
]]*0.9</f>
        <v>3911.7816000000003</v>
      </c>
      <c r="M19" s="105">
        <f>Tabela2[[#This Row],[Valor Hospitalar com desconto, valido somente nas datas ao lado
(R$)]]*0.4</f>
        <v>1564.7126400000002</v>
      </c>
      <c r="Q19" s="130"/>
    </row>
    <row r="20" spans="1:17" s="95" customFormat="1" ht="51" customHeight="1">
      <c r="B20" s="109">
        <v>54140300</v>
      </c>
      <c r="C20" s="110" t="s">
        <v>316</v>
      </c>
      <c r="D20" s="110" t="s">
        <v>299</v>
      </c>
      <c r="E20" s="110" t="s">
        <v>294</v>
      </c>
      <c r="F20" s="98" t="s">
        <v>295</v>
      </c>
      <c r="G20" s="126" t="s">
        <v>295</v>
      </c>
      <c r="H20" s="114">
        <v>8.3333333333333329E-2</v>
      </c>
      <c r="I20" s="115">
        <v>4813.2480000000005</v>
      </c>
      <c r="J20" s="113">
        <f>Tabela2[[#This Row],[Volor Hospitalar (R$)
]]*0.4</f>
        <v>1925.2992000000004</v>
      </c>
      <c r="K20" s="103"/>
      <c r="L20" s="104">
        <f>Tabela2[[#This Row],[Volor Hospitalar (R$)
]]*0.9</f>
        <v>4331.9232000000002</v>
      </c>
      <c r="M20" s="105">
        <f>Tabela2[[#This Row],[Valor Hospitalar com desconto, valido somente nas datas ao lado
(R$)]]*0.4</f>
        <v>1732.7692800000002</v>
      </c>
      <c r="Q20" s="130"/>
    </row>
    <row r="21" spans="1:17" s="95" customFormat="1" ht="51" customHeight="1">
      <c r="B21" s="109">
        <v>54140382</v>
      </c>
      <c r="C21" s="110" t="s">
        <v>317</v>
      </c>
      <c r="D21" s="110" t="s">
        <v>299</v>
      </c>
      <c r="E21" s="110" t="s">
        <v>294</v>
      </c>
      <c r="F21" s="98" t="s">
        <v>310</v>
      </c>
      <c r="G21" s="126" t="s">
        <v>311</v>
      </c>
      <c r="H21" s="114">
        <v>0.16666666666666666</v>
      </c>
      <c r="I21" s="115">
        <v>8628.61</v>
      </c>
      <c r="J21" s="113">
        <f>Tabela2[[#This Row],[Volor Hospitalar (R$)
]]*0.4</f>
        <v>3451.4440000000004</v>
      </c>
      <c r="K21" s="103"/>
      <c r="L21" s="104">
        <f>Tabela2[[#This Row],[Volor Hospitalar (R$)
]]*0.9</f>
        <v>7765.7490000000007</v>
      </c>
      <c r="M21" s="105">
        <f>Tabela2[[#This Row],[Valor Hospitalar com desconto, valido somente nas datas ao lado
(R$)]]*0.4</f>
        <v>3106.2996000000003</v>
      </c>
      <c r="Q21" s="130"/>
    </row>
    <row r="22" spans="1:17" s="95" customFormat="1" ht="51" customHeight="1">
      <c r="B22" s="109">
        <v>54140006</v>
      </c>
      <c r="C22" s="110" t="s">
        <v>318</v>
      </c>
      <c r="D22" s="110" t="s">
        <v>299</v>
      </c>
      <c r="E22" s="110" t="s">
        <v>294</v>
      </c>
      <c r="F22" s="98" t="s">
        <v>295</v>
      </c>
      <c r="G22" s="126" t="s">
        <v>295</v>
      </c>
      <c r="H22" s="114">
        <v>0.16666666666666666</v>
      </c>
      <c r="I22" s="115">
        <v>5750.5</v>
      </c>
      <c r="J22" s="113">
        <f>Tabela2[[#This Row],[Volor Hospitalar (R$)
]]*0.4</f>
        <v>2300.2000000000003</v>
      </c>
      <c r="K22" s="103"/>
      <c r="L22" s="104">
        <f>Tabela2[[#This Row],[Volor Hospitalar (R$)
]]*0.9</f>
        <v>5175.45</v>
      </c>
      <c r="M22" s="105">
        <f>Tabela2[[#This Row],[Valor Hospitalar com desconto, valido somente nas datas ao lado
(R$)]]*0.4</f>
        <v>2070.1799999999998</v>
      </c>
      <c r="Q22" s="130"/>
    </row>
    <row r="23" spans="1:17" s="95" customFormat="1" ht="51" customHeight="1">
      <c r="B23" s="109">
        <v>54140344</v>
      </c>
      <c r="C23" s="110" t="s">
        <v>319</v>
      </c>
      <c r="D23" s="110" t="s">
        <v>299</v>
      </c>
      <c r="E23" s="110" t="s">
        <v>294</v>
      </c>
      <c r="F23" s="98" t="s">
        <v>295</v>
      </c>
      <c r="G23" s="126" t="s">
        <v>295</v>
      </c>
      <c r="H23" s="114">
        <v>0.125</v>
      </c>
      <c r="I23" s="115">
        <v>5334</v>
      </c>
      <c r="J23" s="113">
        <f>Tabela2[[#This Row],[Volor Hospitalar (R$)
]]*0.4</f>
        <v>2133.6</v>
      </c>
      <c r="K23" s="103"/>
      <c r="L23" s="104">
        <f>Tabela2[[#This Row],[Volor Hospitalar (R$)
]]*0.9</f>
        <v>4800.6000000000004</v>
      </c>
      <c r="M23" s="105">
        <f>Tabela2[[#This Row],[Valor Hospitalar com desconto, valido somente nas datas ao lado
(R$)]]*0.4</f>
        <v>1920.2400000000002</v>
      </c>
      <c r="Q23" s="130"/>
    </row>
    <row r="24" spans="1:17" s="95" customFormat="1" ht="51" customHeight="1">
      <c r="B24" s="109">
        <v>54140343</v>
      </c>
      <c r="C24" s="110" t="s">
        <v>320</v>
      </c>
      <c r="D24" s="110" t="s">
        <v>299</v>
      </c>
      <c r="E24" s="110" t="s">
        <v>294</v>
      </c>
      <c r="F24" s="98" t="s">
        <v>295</v>
      </c>
      <c r="G24" s="126" t="s">
        <v>295</v>
      </c>
      <c r="H24" s="114">
        <v>4.1666666666666664E-2</v>
      </c>
      <c r="I24" s="115">
        <v>4134</v>
      </c>
      <c r="J24" s="113">
        <f>Tabela2[[#This Row],[Volor Hospitalar (R$)
]]*0.4</f>
        <v>1653.6000000000001</v>
      </c>
      <c r="K24" s="103"/>
      <c r="L24" s="104">
        <f>Tabela2[[#This Row],[Volor Hospitalar (R$)
]]*0.9</f>
        <v>3720.6</v>
      </c>
      <c r="M24" s="105">
        <f>Tabela2[[#This Row],[Valor Hospitalar com desconto, valido somente nas datas ao lado
(R$)]]*0.4</f>
        <v>1488.24</v>
      </c>
      <c r="Q24" s="130"/>
    </row>
    <row r="25" spans="1:17" s="95" customFormat="1" ht="51" customHeight="1">
      <c r="B25" s="109">
        <v>54140341</v>
      </c>
      <c r="C25" s="110" t="s">
        <v>321</v>
      </c>
      <c r="D25" s="110" t="s">
        <v>299</v>
      </c>
      <c r="E25" s="110" t="s">
        <v>294</v>
      </c>
      <c r="F25" s="98" t="s">
        <v>295</v>
      </c>
      <c r="G25" s="126" t="s">
        <v>295</v>
      </c>
      <c r="H25" s="114">
        <v>8.3333333333333329E-2</v>
      </c>
      <c r="I25" s="115">
        <v>4734</v>
      </c>
      <c r="J25" s="113">
        <f>Tabela2[[#This Row],[Volor Hospitalar (R$)
]]*0.4</f>
        <v>1893.6000000000001</v>
      </c>
      <c r="K25" s="103"/>
      <c r="L25" s="104">
        <f>Tabela2[[#This Row],[Volor Hospitalar (R$)
]]*0.9</f>
        <v>4260.6000000000004</v>
      </c>
      <c r="M25" s="105">
        <f>Tabela2[[#This Row],[Valor Hospitalar com desconto, valido somente nas datas ao lado
(R$)]]*0.4</f>
        <v>1704.2400000000002</v>
      </c>
      <c r="Q25" s="130"/>
    </row>
    <row r="26" spans="1:17" s="95" customFormat="1" ht="51" customHeight="1">
      <c r="B26" s="109">
        <v>54130130</v>
      </c>
      <c r="C26" s="110" t="s">
        <v>322</v>
      </c>
      <c r="D26" s="110" t="s">
        <v>299</v>
      </c>
      <c r="E26" s="110" t="s">
        <v>294</v>
      </c>
      <c r="F26" s="98" t="s">
        <v>295</v>
      </c>
      <c r="G26" s="126" t="s">
        <v>295</v>
      </c>
      <c r="H26" s="114">
        <v>4.1666666666666664E-2</v>
      </c>
      <c r="I26" s="115">
        <v>3931.5400000000004</v>
      </c>
      <c r="J26" s="113">
        <f>Tabela2[[#This Row],[Volor Hospitalar (R$)
]]*0.4</f>
        <v>1572.6160000000002</v>
      </c>
      <c r="K26" s="103"/>
      <c r="L26" s="104">
        <f>Tabela2[[#This Row],[Volor Hospitalar (R$)
]]*0.9</f>
        <v>3538.3860000000004</v>
      </c>
      <c r="M26" s="105">
        <f>Tabela2[[#This Row],[Valor Hospitalar com desconto, valido somente nas datas ao lado
(R$)]]*0.4</f>
        <v>1415.3544000000002</v>
      </c>
      <c r="Q26" s="130"/>
    </row>
    <row r="27" spans="1:17" s="95" customFormat="1" ht="51" customHeight="1">
      <c r="B27" s="109">
        <v>54140270</v>
      </c>
      <c r="C27" s="110" t="s">
        <v>323</v>
      </c>
      <c r="D27" s="110" t="s">
        <v>299</v>
      </c>
      <c r="E27" s="110" t="s">
        <v>294</v>
      </c>
      <c r="F27" s="98" t="s">
        <v>295</v>
      </c>
      <c r="G27" s="126" t="s">
        <v>295</v>
      </c>
      <c r="H27" s="114">
        <v>0.16666666666666666</v>
      </c>
      <c r="I27" s="115">
        <v>6223.5250000000005</v>
      </c>
      <c r="J27" s="113">
        <f>Tabela2[[#This Row],[Volor Hospitalar (R$)
]]*0.4</f>
        <v>2489.4100000000003</v>
      </c>
      <c r="K27" s="103"/>
      <c r="L27" s="104">
        <f>Tabela2[[#This Row],[Volor Hospitalar (R$)
]]*0.9</f>
        <v>5601.1725000000006</v>
      </c>
      <c r="M27" s="105">
        <f>Tabela2[[#This Row],[Valor Hospitalar com desconto, valido somente nas datas ao lado
(R$)]]*0.4</f>
        <v>2240.4690000000005</v>
      </c>
      <c r="Q27" s="130"/>
    </row>
    <row r="28" spans="1:17" s="95" customFormat="1" ht="51" customHeight="1">
      <c r="B28" s="109">
        <v>54140280</v>
      </c>
      <c r="C28" s="110" t="s">
        <v>324</v>
      </c>
      <c r="D28" s="110" t="s">
        <v>299</v>
      </c>
      <c r="E28" s="110" t="s">
        <v>294</v>
      </c>
      <c r="F28" s="98" t="s">
        <v>295</v>
      </c>
      <c r="G28" s="126" t="s">
        <v>295</v>
      </c>
      <c r="H28" s="114">
        <v>0.125</v>
      </c>
      <c r="I28" s="115">
        <v>5465.8879999999999</v>
      </c>
      <c r="J28" s="113">
        <f>Tabela2[[#This Row],[Volor Hospitalar (R$)
]]*0.4</f>
        <v>2186.3552</v>
      </c>
      <c r="K28" s="103"/>
      <c r="L28" s="104">
        <f>Tabela2[[#This Row],[Volor Hospitalar (R$)
]]*0.9</f>
        <v>4919.2992000000004</v>
      </c>
      <c r="M28" s="105">
        <f>Tabela2[[#This Row],[Valor Hospitalar com desconto, valido somente nas datas ao lado
(R$)]]*0.4</f>
        <v>1967.7196800000002</v>
      </c>
      <c r="Q28" s="130"/>
    </row>
    <row r="29" spans="1:17" s="95" customFormat="1" ht="51" customHeight="1">
      <c r="B29" s="109">
        <v>54140260</v>
      </c>
      <c r="C29" s="110" t="s">
        <v>325</v>
      </c>
      <c r="D29" s="110" t="s">
        <v>299</v>
      </c>
      <c r="E29" s="110" t="s">
        <v>294</v>
      </c>
      <c r="F29" s="98" t="s">
        <v>295</v>
      </c>
      <c r="G29" s="126" t="s">
        <v>295</v>
      </c>
      <c r="H29" s="114">
        <v>8.3333333333333329E-2</v>
      </c>
      <c r="I29" s="115">
        <v>5156.1792000000014</v>
      </c>
      <c r="J29" s="113">
        <f>Tabela2[[#This Row],[Volor Hospitalar (R$)
]]*0.4</f>
        <v>2062.4716800000006</v>
      </c>
      <c r="K29" s="103"/>
      <c r="L29" s="104">
        <f>Tabela2[[#This Row],[Volor Hospitalar (R$)
]]*0.9</f>
        <v>4640.5612800000017</v>
      </c>
      <c r="M29" s="105">
        <f>Tabela2[[#This Row],[Valor Hospitalar com desconto, valido somente nas datas ao lado
(R$)]]*0.4</f>
        <v>1856.2245120000007</v>
      </c>
      <c r="Q29" s="130"/>
    </row>
    <row r="30" spans="1:17" s="95" customFormat="1" ht="51" customHeight="1">
      <c r="B30" s="109">
        <v>54040180</v>
      </c>
      <c r="C30" s="110" t="s">
        <v>326</v>
      </c>
      <c r="D30" s="110" t="s">
        <v>299</v>
      </c>
      <c r="E30" s="110" t="s">
        <v>294</v>
      </c>
      <c r="F30" s="98" t="s">
        <v>295</v>
      </c>
      <c r="G30" s="126" t="s">
        <v>295</v>
      </c>
      <c r="H30" s="114">
        <v>0.16666666666666666</v>
      </c>
      <c r="I30" s="115">
        <v>5598.072000000001</v>
      </c>
      <c r="J30" s="113">
        <f>Tabela2[[#This Row],[Volor Hospitalar (R$)
]]*0.4</f>
        <v>2239.2288000000003</v>
      </c>
      <c r="K30" s="103"/>
      <c r="L30" s="104">
        <f>Tabela2[[#This Row],[Volor Hospitalar (R$)
]]*0.9</f>
        <v>5038.2648000000008</v>
      </c>
      <c r="M30" s="105">
        <f>Tabela2[[#This Row],[Valor Hospitalar com desconto, valido somente nas datas ao lado
(R$)]]*0.4</f>
        <v>2015.3059200000005</v>
      </c>
      <c r="Q30" s="130"/>
    </row>
    <row r="31" spans="1:17" s="95" customFormat="1" ht="51" customHeight="1">
      <c r="B31" s="109">
        <v>54050049</v>
      </c>
      <c r="C31" s="110" t="s">
        <v>327</v>
      </c>
      <c r="D31" s="110" t="s">
        <v>299</v>
      </c>
      <c r="E31" s="110" t="s">
        <v>294</v>
      </c>
      <c r="F31" s="98" t="s">
        <v>295</v>
      </c>
      <c r="G31" s="126" t="s">
        <v>295</v>
      </c>
      <c r="H31" s="114">
        <v>8.3333333333333329E-2</v>
      </c>
      <c r="I31" s="115">
        <v>4233.4704000000002</v>
      </c>
      <c r="J31" s="113">
        <f>Tabela2[[#This Row],[Volor Hospitalar (R$)
]]*0.4</f>
        <v>1693.3881600000002</v>
      </c>
      <c r="K31" s="103"/>
      <c r="L31" s="104">
        <f>Tabela2[[#This Row],[Volor Hospitalar (R$)
]]*0.9</f>
        <v>3810.12336</v>
      </c>
      <c r="M31" s="105">
        <f>Tabela2[[#This Row],[Valor Hospitalar com desconto, valido somente nas datas ao lado
(R$)]]*0.4</f>
        <v>1524.049344</v>
      </c>
      <c r="Q31" s="130"/>
    </row>
    <row r="32" spans="1:17" s="95" customFormat="1" ht="51" customHeight="1">
      <c r="A32" s="108"/>
      <c r="B32" s="109">
        <v>54040210</v>
      </c>
      <c r="C32" s="110" t="s">
        <v>328</v>
      </c>
      <c r="D32" s="110" t="s">
        <v>299</v>
      </c>
      <c r="E32" s="110" t="s">
        <v>294</v>
      </c>
      <c r="F32" s="98" t="s">
        <v>295</v>
      </c>
      <c r="G32" s="126" t="s">
        <v>295</v>
      </c>
      <c r="H32" s="114">
        <v>8.3333333333333329E-2</v>
      </c>
      <c r="I32" s="115">
        <v>3996.4968000000003</v>
      </c>
      <c r="J32" s="113">
        <f>Tabela2[[#This Row],[Volor Hospitalar (R$)
]]*0.4</f>
        <v>1598.5987200000002</v>
      </c>
      <c r="K32" s="103"/>
      <c r="L32" s="104">
        <f>Tabela2[[#This Row],[Volor Hospitalar (R$)
]]*0.9</f>
        <v>3596.8471200000004</v>
      </c>
      <c r="M32" s="105">
        <f>Tabela2[[#This Row],[Valor Hospitalar com desconto, valido somente nas datas ao lado
(R$)]]*0.4</f>
        <v>1438.7388480000002</v>
      </c>
      <c r="Q32" s="130"/>
    </row>
    <row r="33" spans="2:17" s="95" customFormat="1" ht="51" customHeight="1">
      <c r="B33" s="109">
        <v>54130140</v>
      </c>
      <c r="C33" s="110" t="s">
        <v>329</v>
      </c>
      <c r="D33" s="110" t="s">
        <v>299</v>
      </c>
      <c r="E33" s="110" t="s">
        <v>294</v>
      </c>
      <c r="F33" s="98" t="s">
        <v>295</v>
      </c>
      <c r="G33" s="126" t="s">
        <v>295</v>
      </c>
      <c r="H33" s="114">
        <v>8.3333333333333329E-2</v>
      </c>
      <c r="I33" s="115">
        <v>4331.9232000000002</v>
      </c>
      <c r="J33" s="113">
        <f>Tabela2[[#This Row],[Volor Hospitalar (R$)
]]*0.4</f>
        <v>1732.7692800000002</v>
      </c>
      <c r="K33" s="103"/>
      <c r="L33" s="104">
        <f>Tabela2[[#This Row],[Volor Hospitalar (R$)
]]*0.9</f>
        <v>3898.7308800000001</v>
      </c>
      <c r="M33" s="105">
        <f>Tabela2[[#This Row],[Valor Hospitalar com desconto, valido somente nas datas ao lado
(R$)]]*0.4</f>
        <v>1559.4923520000002</v>
      </c>
      <c r="Q33" s="130"/>
    </row>
    <row r="34" spans="2:17" s="95" customFormat="1" ht="51" customHeight="1">
      <c r="B34" s="109">
        <v>54090170</v>
      </c>
      <c r="C34" s="110" t="s">
        <v>330</v>
      </c>
      <c r="D34" s="110" t="s">
        <v>299</v>
      </c>
      <c r="E34" s="110" t="s">
        <v>294</v>
      </c>
      <c r="F34" s="98" t="s">
        <v>295</v>
      </c>
      <c r="G34" s="126" t="s">
        <v>295</v>
      </c>
      <c r="H34" s="114">
        <v>8.3333333333333329E-2</v>
      </c>
      <c r="I34" s="115">
        <v>3897.143</v>
      </c>
      <c r="J34" s="113">
        <f>Tabela2[[#This Row],[Volor Hospitalar (R$)
]]*0.4</f>
        <v>1558.8572000000001</v>
      </c>
      <c r="K34" s="103"/>
      <c r="L34" s="104">
        <f>Tabela2[[#This Row],[Volor Hospitalar (R$)
]]*0.9</f>
        <v>3507.4286999999999</v>
      </c>
      <c r="M34" s="105">
        <f>Tabela2[[#This Row],[Valor Hospitalar com desconto, valido somente nas datas ao lado
(R$)]]*0.4</f>
        <v>1402.9714800000002</v>
      </c>
      <c r="Q34" s="130"/>
    </row>
    <row r="35" spans="2:17" s="95" customFormat="1" ht="51" customHeight="1">
      <c r="B35" s="109">
        <v>54040190</v>
      </c>
      <c r="C35" s="110" t="s">
        <v>331</v>
      </c>
      <c r="D35" s="110" t="s">
        <v>299</v>
      </c>
      <c r="E35" s="110" t="s">
        <v>294</v>
      </c>
      <c r="F35" s="133" t="s">
        <v>310</v>
      </c>
      <c r="G35" s="126" t="s">
        <v>311</v>
      </c>
      <c r="H35" s="114">
        <v>0.20833333333333334</v>
      </c>
      <c r="I35" s="115">
        <v>8814.65</v>
      </c>
      <c r="J35" s="113">
        <f>Tabela2[[#This Row],[Volor Hospitalar (R$)
]]*0.4</f>
        <v>3525.86</v>
      </c>
      <c r="K35" s="103"/>
      <c r="L35" s="104">
        <f>Tabela2[[#This Row],[Volor Hospitalar (R$)
]]*0.9</f>
        <v>7933.1849999999995</v>
      </c>
      <c r="M35" s="105">
        <f>Tabela2[[#This Row],[Valor Hospitalar com desconto, valido somente nas datas ao lado
(R$)]]*0.4</f>
        <v>3173.2739999999999</v>
      </c>
      <c r="Q35" s="130"/>
    </row>
    <row r="36" spans="2:17" s="95" customFormat="1" ht="51" customHeight="1" thickBot="1">
      <c r="B36" s="134">
        <v>54140360</v>
      </c>
      <c r="C36" s="135" t="s">
        <v>332</v>
      </c>
      <c r="D36" s="135" t="s">
        <v>299</v>
      </c>
      <c r="E36" s="135" t="s">
        <v>294</v>
      </c>
      <c r="F36" s="136" t="s">
        <v>310</v>
      </c>
      <c r="G36" s="137" t="s">
        <v>333</v>
      </c>
      <c r="H36" s="138">
        <v>0.20833333333333334</v>
      </c>
      <c r="I36" s="139">
        <v>8903</v>
      </c>
      <c r="J36" s="140">
        <f>Tabela2[[#This Row],[Volor Hospitalar (R$)
]]*0.4</f>
        <v>3561.2000000000003</v>
      </c>
      <c r="K36" s="141"/>
      <c r="L36" s="142">
        <f>Tabela2[[#This Row],[Volor Hospitalar (R$)
]]*0.9</f>
        <v>8012.7</v>
      </c>
      <c r="M36" s="143">
        <f>Tabela2[[#This Row],[Valor Hospitalar com desconto, valido somente nas datas ao lado
(R$)]]*0.4</f>
        <v>3205.08</v>
      </c>
      <c r="N36" s="144"/>
      <c r="O36" s="144"/>
      <c r="P36" s="144"/>
      <c r="Q36" s="145"/>
    </row>
    <row r="37" spans="2:17" ht="51" customHeight="1" thickBot="1">
      <c r="B37" s="146" t="s">
        <v>334</v>
      </c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8"/>
    </row>
  </sheetData>
  <sheetProtection algorithmName="SHA-512" hashValue="MK3ozPR0fckKhxuq45xwOwId5csZa7qynhpA/Qtc2BMbL6RQmVBAGLmyCeXpe67ZfEIiAJIyC8sWOaPi/zIslw==" saltValue="xrDqSrjoKtD26xzAOG5Q2w==" spinCount="100000" sheet="1" objects="1" scenarios="1"/>
  <mergeCells count="8">
    <mergeCell ref="P16:Q16"/>
    <mergeCell ref="B37:M37"/>
    <mergeCell ref="B2:J2"/>
    <mergeCell ref="B3:H3"/>
    <mergeCell ref="I3:J3"/>
    <mergeCell ref="L3:M3"/>
    <mergeCell ref="P3:Q3"/>
    <mergeCell ref="P4:Q4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base</vt:lpstr>
      <vt:lpstr>REGRAS GERAIS</vt:lpstr>
      <vt:lpstr>ANESTESIA</vt:lpstr>
      <vt:lpstr>BUCOMAXILO</vt:lpstr>
      <vt:lpstr>CARDIOVASCULAR</vt:lpstr>
      <vt:lpstr>CABEÇA E PESCOÇO</vt:lpstr>
      <vt:lpstr>CIRURGIA GERAL</vt:lpstr>
      <vt:lpstr>CIRURGIA PLASTICA - CASA SAUDE</vt:lpstr>
      <vt:lpstr>CIRURGIA PLASTICA - VERA CRUZ</vt:lpstr>
      <vt:lpstr>VASCULAR</vt:lpstr>
      <vt:lpstr>GASTRO</vt:lpstr>
      <vt:lpstr>GINECOLOGIA</vt:lpstr>
      <vt:lpstr>ORTOPEDIA</vt:lpstr>
      <vt:lpstr>OTORRINO</vt:lpstr>
      <vt:lpstr>UROLOGIA</vt:lpstr>
      <vt:lpstr>ANESTESIA!Area_de_impressao</vt:lpstr>
      <vt:lpstr>base!Area_de_impressao</vt:lpstr>
      <vt:lpstr>BUCOMAXILO!Area_de_impressao</vt:lpstr>
      <vt:lpstr>'CABEÇA E PESCOÇO'!Area_de_impressao</vt:lpstr>
      <vt:lpstr>CARDIOVASCULAR!Area_de_impressao</vt:lpstr>
      <vt:lpstr>'CIRURGIA GERAL'!Area_de_impressao</vt:lpstr>
      <vt:lpstr>GASTRO!Area_de_impressao</vt:lpstr>
      <vt:lpstr>GINECOLOGIA!Area_de_impressao</vt:lpstr>
      <vt:lpstr>ORTOPEDIA!Area_de_impressao</vt:lpstr>
      <vt:lpstr>OTORRINO!Area_de_impressao</vt:lpstr>
      <vt:lpstr>UROLOGIA!Area_de_impressao</vt:lpstr>
      <vt:lpstr>VASCULAR!Area_de_impressao</vt:lpstr>
    </vt:vector>
  </TitlesOfParts>
  <Company>HVC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Adriane Todescan</dc:creator>
  <cp:lastModifiedBy>Laysa Angelo</cp:lastModifiedBy>
  <cp:lastPrinted>2022-12-12T17:28:21Z</cp:lastPrinted>
  <dcterms:created xsi:type="dcterms:W3CDTF">2017-01-13T10:49:14Z</dcterms:created>
  <dcterms:modified xsi:type="dcterms:W3CDTF">2023-07-28T14:23:38Z</dcterms:modified>
</cp:coreProperties>
</file>